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775" tabRatio="820" activeTab="0"/>
  </bookViews>
  <sheets>
    <sheet name="Annexure A" sheetId="1" r:id="rId1"/>
    <sheet name="Annexure B" sheetId="2" r:id="rId2"/>
    <sheet name="Annexure C" sheetId="3" r:id="rId3"/>
    <sheet name="Annexure D" sheetId="4" r:id="rId4"/>
    <sheet name="Annexure E" sheetId="5" r:id="rId5"/>
    <sheet name="Annexure F1" sheetId="6" r:id="rId6"/>
    <sheet name="Annexure F2" sheetId="7" r:id="rId7"/>
  </sheets>
  <definedNames/>
  <calcPr fullCalcOnLoad="1"/>
</workbook>
</file>

<file path=xl/sharedStrings.xml><?xml version="1.0" encoding="utf-8"?>
<sst xmlns="http://schemas.openxmlformats.org/spreadsheetml/2006/main" count="245" uniqueCount="110">
  <si>
    <t>ANNEXURE A</t>
  </si>
  <si>
    <t>Actual revenue per revenue source</t>
  </si>
  <si>
    <t>REVENUE SOURCE</t>
  </si>
  <si>
    <t>BUDGETED REVENUE</t>
  </si>
  <si>
    <t>YTD ACTUAL REVENUE</t>
  </si>
  <si>
    <t>%     ACTUAL REVENUE</t>
  </si>
  <si>
    <t>VARIANCE</t>
  </si>
  <si>
    <t>REASON FOR VARIANCE</t>
  </si>
  <si>
    <t>(E)</t>
  </si>
  <si>
    <t>(F)</t>
  </si>
  <si>
    <t>(E-F)</t>
  </si>
  <si>
    <t>Other income</t>
  </si>
  <si>
    <t>TOTAL INCOME</t>
  </si>
  <si>
    <t>ANNEXURE B</t>
  </si>
  <si>
    <t>Actual expenditure per vote (department)</t>
  </si>
  <si>
    <t>DEPARTMENTS</t>
  </si>
  <si>
    <t>OPERATING BUDGET  EXP</t>
  </si>
  <si>
    <t>BASELINE</t>
  </si>
  <si>
    <t>% OF ACTUAL EXP SPENT</t>
  </si>
  <si>
    <t>(E -F)</t>
  </si>
  <si>
    <t>Salary and Allowances</t>
  </si>
  <si>
    <t>General Expenditure</t>
  </si>
  <si>
    <t>Repairs and Maintenance</t>
  </si>
  <si>
    <t>Capital Outlay</t>
  </si>
  <si>
    <t>Contributions to Funds</t>
  </si>
  <si>
    <t>Municipal Manager</t>
  </si>
  <si>
    <t>Corporate Service</t>
  </si>
  <si>
    <t>General Expenses</t>
  </si>
  <si>
    <t>Councillors Salaries</t>
  </si>
  <si>
    <t>Total</t>
  </si>
  <si>
    <t>ANNEXURE C</t>
  </si>
  <si>
    <t>DESCRIPTION</t>
  </si>
  <si>
    <t>BUDGET</t>
  </si>
  <si>
    <t>YTD ACTUAL EXPEND</t>
  </si>
  <si>
    <t>% ACTUAL SPENT</t>
  </si>
  <si>
    <t>TOTAL</t>
  </si>
  <si>
    <t>ANNEXURE D</t>
  </si>
  <si>
    <t xml:space="preserve"> </t>
  </si>
  <si>
    <t>Sanitation</t>
  </si>
  <si>
    <t>Water</t>
  </si>
  <si>
    <t>ANNEXURE E</t>
  </si>
  <si>
    <t>Waste Removal</t>
  </si>
  <si>
    <t>Assessment Rates</t>
  </si>
  <si>
    <t>Interest received</t>
  </si>
  <si>
    <t>Fines</t>
  </si>
  <si>
    <t>Rental of facilities &amp; equipments</t>
  </si>
  <si>
    <t>Income from agency fees</t>
  </si>
  <si>
    <t>Operating Grants &amp; Subsidies</t>
  </si>
  <si>
    <t>Financial Services</t>
  </si>
  <si>
    <t>Technical Services</t>
  </si>
  <si>
    <t>Social &amp; Community Services</t>
  </si>
  <si>
    <t>Electricity****</t>
  </si>
  <si>
    <t>**** Electricity pre-paid meters</t>
  </si>
  <si>
    <t xml:space="preserve">       Electricity conventional method</t>
  </si>
  <si>
    <t>BUDGETED         MONTHLY PROJECTIONS</t>
  </si>
  <si>
    <t>MONTHLY ACTUAL REVENUE</t>
  </si>
  <si>
    <t>YTD BASELINE 8.33%</t>
  </si>
  <si>
    <t>MONTHLY ACTUAL EXPEND</t>
  </si>
  <si>
    <t xml:space="preserve">Allocation Received </t>
  </si>
  <si>
    <t>MONTHLY ACTUAL RECEIVED</t>
  </si>
  <si>
    <t>Licenses &amp; permits</t>
  </si>
  <si>
    <t>Other Services Charges</t>
  </si>
  <si>
    <t>Mayor's Office</t>
  </si>
  <si>
    <t>National Equitable Share</t>
  </si>
  <si>
    <t>Grants &amp; Subsidies Capital</t>
  </si>
  <si>
    <t>BUDGETED    MONTHS PROJECTIONS</t>
  </si>
  <si>
    <t>Municipal Finance Management Grant</t>
  </si>
  <si>
    <t>Municipal Systems Improvement Grant</t>
  </si>
  <si>
    <t>Municipal Infrastructure Grant</t>
  </si>
  <si>
    <t>Extension water purification plant</t>
  </si>
  <si>
    <t>Building of new Municipal Offices</t>
  </si>
  <si>
    <t>CAPITAL SPENDING</t>
  </si>
  <si>
    <t>Planning &amp; Economic Development</t>
  </si>
  <si>
    <t>YTD ACTUAL RECEIVED</t>
  </si>
  <si>
    <t>BASELINE 100%</t>
  </si>
  <si>
    <t>YTD ACTUAL  OPERATING   EXP</t>
  </si>
  <si>
    <t>ACTUAL MONTHLY OPERATING   EXP</t>
  </si>
  <si>
    <t>ANNEXURE F2</t>
  </si>
  <si>
    <t>PROJECTS CONTINUING FROM PREVIOUS FINANCIAL YEAR</t>
  </si>
  <si>
    <t>ANNEXURE F1</t>
  </si>
  <si>
    <t>Replacing obsolete HT cable in town</t>
  </si>
  <si>
    <t>Upgrading of Electrical Network in Bela-Bela Township</t>
  </si>
  <si>
    <t>Refurbishing of pump stations</t>
  </si>
  <si>
    <t>Sewer Rods</t>
  </si>
  <si>
    <t>Sludge pumps</t>
  </si>
  <si>
    <t>PMU Costs</t>
  </si>
  <si>
    <t>Refurbishing of rails and catwalks</t>
  </si>
  <si>
    <t>Bush cutters</t>
  </si>
  <si>
    <t>Trailer for mobile generator</t>
  </si>
  <si>
    <t>Small generators</t>
  </si>
  <si>
    <t>Sewer Pumpstation at Radium</t>
  </si>
  <si>
    <t>Rehabilitation of roads in the CBD</t>
  </si>
  <si>
    <t>Construction of Koot v/d Walt Street in Golfbaanpark</t>
  </si>
  <si>
    <t>Removal of Stockpile in Leseding Extension</t>
  </si>
  <si>
    <t>Road paving</t>
  </si>
  <si>
    <t>Stormwater</t>
  </si>
  <si>
    <t>4xDixon Ride-on lawn mowers</t>
  </si>
  <si>
    <t>6xBush cutters</t>
  </si>
  <si>
    <t>350 x Refuse bins</t>
  </si>
  <si>
    <t>Ablusion facilities (next to RCC) and fencing thereof</t>
  </si>
  <si>
    <t>Replacing tools and equipment for Electrical Division</t>
  </si>
  <si>
    <t>.</t>
  </si>
  <si>
    <t xml:space="preserve">                                                              31 December 2008</t>
  </si>
  <si>
    <t>31/12/2008</t>
  </si>
  <si>
    <t>BASELINE 50%</t>
  </si>
  <si>
    <t>01 July 2008- 31 December 2008</t>
  </si>
  <si>
    <t>01July 2008- 31 December 2008</t>
  </si>
  <si>
    <t>BUDGETED     6 MONTHS PROJECTIONS</t>
  </si>
  <si>
    <t>YTD BASELINE 50%</t>
  </si>
  <si>
    <t xml:space="preserve">BUDGETED 6 MONTHS PROJECTIONS  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</si>
</sst>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_ * #,##0.0_ ;_ * \-#,##0.0_ ;_ * &quot;-&quot;?_ ;_ @_ "/>
    <numFmt numFmtId="174" formatCode="#,##0.0"/>
    <numFmt numFmtId="175" formatCode="0.0%"/>
    <numFmt numFmtId="176" formatCode="0.000%"/>
    <numFmt numFmtId="177" formatCode="###\ ###\ ##0"/>
    <numFmt numFmtId="178" formatCode="###\ ###\ ##0.00"/>
    <numFmt numFmtId="179" formatCode="_ * ##\ ##0_ ;_ * \-#,##0_ ;_ * &quot;-&quot;_ ;_ @_ "/>
    <numFmt numFmtId="180" formatCode="#\ ##0"/>
    <numFmt numFmtId="181" formatCode="_ * #,##0_ ;_ * \-#,##0_ ;_ * &quot;-&quot;?_ ;_ @_ "/>
    <numFmt numFmtId="182" formatCode="#\ ###\ ##0"/>
    <numFmt numFmtId="183" formatCode="#,##0_ ;[Red]\-#,##0\ "/>
    <numFmt numFmtId="184" formatCode="[$-1C09]dd\ mmmm\ yyyy"/>
    <numFmt numFmtId="185" formatCode="[$-F800]dddd\,\ mmmm\ dd\,\ yyyy"/>
    <numFmt numFmtId="186" formatCode="#,##0.00_ ;[Red]\-#,##0.00\ 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#.0\ ###\ ##0"/>
    <numFmt numFmtId="191" formatCode="0.0000000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10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10" fontId="8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/>
    </xf>
    <xf numFmtId="10" fontId="8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/>
    </xf>
    <xf numFmtId="177" fontId="8" fillId="0" borderId="1" xfId="0" applyNumberFormat="1" applyFont="1" applyFill="1" applyBorder="1" applyAlignment="1">
      <alignment/>
    </xf>
    <xf numFmtId="177" fontId="7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77" fontId="9" fillId="0" borderId="1" xfId="0" applyNumberFormat="1" applyFont="1" applyFill="1" applyBorder="1" applyAlignment="1">
      <alignment/>
    </xf>
    <xf numFmtId="182" fontId="8" fillId="0" borderId="1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183" fontId="6" fillId="0" borderId="1" xfId="0" applyNumberFormat="1" applyFont="1" applyBorder="1" applyAlignment="1">
      <alignment/>
    </xf>
    <xf numFmtId="183" fontId="6" fillId="0" borderId="1" xfId="0" applyNumberFormat="1" applyFont="1" applyBorder="1" applyAlignment="1">
      <alignment horizontal="right"/>
    </xf>
    <xf numFmtId="183" fontId="2" fillId="0" borderId="1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83" fontId="2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177" fontId="11" fillId="0" borderId="1" xfId="0" applyNumberFormat="1" applyFont="1" applyBorder="1" applyAlignment="1">
      <alignment horizontal="right"/>
    </xf>
    <xf numFmtId="1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177" fontId="11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9" fontId="11" fillId="0" borderId="1" xfId="0" applyNumberFormat="1" applyFont="1" applyBorder="1" applyAlignment="1">
      <alignment horizontal="center"/>
    </xf>
    <xf numFmtId="177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177" fontId="12" fillId="0" borderId="1" xfId="0" applyNumberFormat="1" applyFont="1" applyFill="1" applyBorder="1" applyAlignment="1">
      <alignment/>
    </xf>
    <xf numFmtId="10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77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7" fillId="0" borderId="1" xfId="0" applyFont="1" applyBorder="1" applyAlignment="1">
      <alignment wrapText="1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9" fontId="8" fillId="0" borderId="1" xfId="0" applyNumberFormat="1" applyFont="1" applyBorder="1" applyAlignment="1">
      <alignment horizontal="right"/>
    </xf>
    <xf numFmtId="9" fontId="0" fillId="0" borderId="1" xfId="0" applyNumberFormat="1" applyBorder="1" applyAlignment="1">
      <alignment/>
    </xf>
    <xf numFmtId="188" fontId="0" fillId="0" borderId="1" xfId="15" applyNumberFormat="1" applyBorder="1" applyAlignment="1">
      <alignment horizontal="right"/>
    </xf>
    <xf numFmtId="188" fontId="0" fillId="0" borderId="1" xfId="15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88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9" fontId="1" fillId="0" borderId="5" xfId="0" applyNumberFormat="1" applyFont="1" applyBorder="1" applyAlignment="1">
      <alignment/>
    </xf>
    <xf numFmtId="177" fontId="10" fillId="0" borderId="1" xfId="0" applyNumberFormat="1" applyFont="1" applyBorder="1" applyAlignment="1">
      <alignment horizontal="right"/>
    </xf>
    <xf numFmtId="183" fontId="6" fillId="0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8" xfId="0" applyFill="1" applyBorder="1" applyAlignment="1">
      <alignment/>
    </xf>
    <xf numFmtId="3" fontId="0" fillId="0" borderId="8" xfId="0" applyNumberFormat="1" applyBorder="1" applyAlignment="1">
      <alignment/>
    </xf>
    <xf numFmtId="9" fontId="8" fillId="0" borderId="8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177" fontId="7" fillId="0" borderId="6" xfId="0" applyNumberFormat="1" applyFont="1" applyBorder="1" applyAlignment="1">
      <alignment/>
    </xf>
    <xf numFmtId="10" fontId="7" fillId="0" borderId="9" xfId="0" applyNumberFormat="1" applyFont="1" applyBorder="1" applyAlignment="1">
      <alignment horizontal="center"/>
    </xf>
    <xf numFmtId="182" fontId="8" fillId="0" borderId="1" xfId="0" applyNumberFormat="1" applyFont="1" applyBorder="1" applyAlignment="1">
      <alignment horizontal="right" indent="2"/>
    </xf>
    <xf numFmtId="182" fontId="8" fillId="0" borderId="1" xfId="0" applyNumberFormat="1" applyFont="1" applyBorder="1" applyAlignment="1">
      <alignment horizontal="right" indent="3"/>
    </xf>
    <xf numFmtId="182" fontId="8" fillId="0" borderId="8" xfId="0" applyNumberFormat="1" applyFont="1" applyBorder="1" applyAlignment="1">
      <alignment horizontal="right" indent="2"/>
    </xf>
    <xf numFmtId="182" fontId="7" fillId="0" borderId="6" xfId="0" applyNumberFormat="1" applyFont="1" applyBorder="1" applyAlignment="1">
      <alignment horizontal="right" indent="2"/>
    </xf>
    <xf numFmtId="171" fontId="0" fillId="0" borderId="0" xfId="15" applyAlignment="1">
      <alignment/>
    </xf>
    <xf numFmtId="171" fontId="0" fillId="0" borderId="0" xfId="0" applyNumberFormat="1" applyAlignment="1">
      <alignment/>
    </xf>
    <xf numFmtId="183" fontId="6" fillId="0" borderId="1" xfId="0" applyNumberFormat="1" applyFont="1" applyFill="1" applyBorder="1" applyAlignment="1">
      <alignment/>
    </xf>
    <xf numFmtId="10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83" fontId="2" fillId="0" borderId="1" xfId="0" applyNumberFormat="1" applyFont="1" applyFill="1" applyBorder="1" applyAlignment="1">
      <alignment horizontal="right"/>
    </xf>
    <xf numFmtId="182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1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9" fontId="7" fillId="0" borderId="1" xfId="0" applyNumberFormat="1" applyFont="1" applyBorder="1" applyAlignment="1">
      <alignment horizontal="right"/>
    </xf>
    <xf numFmtId="9" fontId="6" fillId="0" borderId="1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2:H28"/>
  <sheetViews>
    <sheetView tabSelected="1" workbookViewId="0" topLeftCell="A1">
      <selection activeCell="D8" sqref="D8"/>
    </sheetView>
  </sheetViews>
  <sheetFormatPr defaultColWidth="9.140625" defaultRowHeight="12.75"/>
  <cols>
    <col min="1" max="1" width="36.57421875" style="0" bestFit="1" customWidth="1"/>
    <col min="2" max="2" width="14.28125" style="0" customWidth="1"/>
    <col min="3" max="3" width="17.7109375" style="0" customWidth="1"/>
    <col min="4" max="7" width="13.7109375" style="0" customWidth="1"/>
    <col min="8" max="8" width="20.421875" style="0" hidden="1" customWidth="1"/>
    <col min="9" max="9" width="10.28125" style="0" bestFit="1" customWidth="1"/>
  </cols>
  <sheetData>
    <row r="2" spans="1:8" ht="18">
      <c r="A2" s="32" t="s">
        <v>0</v>
      </c>
      <c r="B2" s="32"/>
      <c r="C2" s="32"/>
      <c r="D2" s="32"/>
      <c r="E2" s="32"/>
      <c r="F2" s="32"/>
      <c r="G2" s="32"/>
      <c r="H2" s="32"/>
    </row>
    <row r="3" spans="1:8" ht="15.75">
      <c r="A3" s="33" t="s">
        <v>1</v>
      </c>
      <c r="B3" s="33"/>
      <c r="C3" s="33"/>
      <c r="D3" s="33"/>
      <c r="E3" s="33"/>
      <c r="F3" s="33"/>
      <c r="G3" s="33"/>
      <c r="H3" s="33"/>
    </row>
    <row r="4" spans="1:8" ht="15.75">
      <c r="A4" s="114" t="s">
        <v>105</v>
      </c>
      <c r="B4" s="115"/>
      <c r="C4" s="115"/>
      <c r="D4" s="115"/>
      <c r="E4" s="115"/>
      <c r="F4" s="115"/>
      <c r="G4" s="115"/>
      <c r="H4" s="115"/>
    </row>
    <row r="5" spans="1:8" ht="12.75">
      <c r="A5" s="3"/>
      <c r="B5" s="3"/>
      <c r="C5" s="3"/>
      <c r="D5" s="3"/>
      <c r="E5" s="3"/>
      <c r="F5" s="3"/>
      <c r="G5" s="3"/>
      <c r="H5" s="3"/>
    </row>
    <row r="6" ht="9" customHeight="1"/>
    <row r="7" spans="1:8" s="4" customFormat="1" ht="76.5" customHeight="1">
      <c r="A7" s="11" t="s">
        <v>2</v>
      </c>
      <c r="B7" s="11" t="s">
        <v>3</v>
      </c>
      <c r="C7" s="11" t="s">
        <v>107</v>
      </c>
      <c r="D7" s="11" t="s">
        <v>4</v>
      </c>
      <c r="E7" s="11" t="s">
        <v>108</v>
      </c>
      <c r="F7" s="11" t="s">
        <v>5</v>
      </c>
      <c r="G7" s="11" t="s">
        <v>6</v>
      </c>
      <c r="H7" s="11" t="s">
        <v>7</v>
      </c>
    </row>
    <row r="8" spans="1:8" s="4" customFormat="1" ht="15">
      <c r="A8" s="5" t="s">
        <v>37</v>
      </c>
      <c r="B8" s="5"/>
      <c r="C8" s="5" t="s">
        <v>37</v>
      </c>
      <c r="D8" s="5" t="s">
        <v>37</v>
      </c>
      <c r="E8" s="5" t="s">
        <v>8</v>
      </c>
      <c r="F8" s="5" t="s">
        <v>9</v>
      </c>
      <c r="G8" s="5" t="s">
        <v>10</v>
      </c>
      <c r="H8" s="6"/>
    </row>
    <row r="9" spans="1:8" s="106" customFormat="1" ht="15">
      <c r="A9" s="7" t="s">
        <v>39</v>
      </c>
      <c r="B9" s="85">
        <v>8500000</v>
      </c>
      <c r="C9" s="85">
        <f>+B9/12*6</f>
        <v>4250000</v>
      </c>
      <c r="D9" s="104">
        <v>3872240</v>
      </c>
      <c r="E9" s="113">
        <v>0.5</v>
      </c>
      <c r="F9" s="105">
        <f>+D9/B9*100%</f>
        <v>0.4555576470588235</v>
      </c>
      <c r="G9" s="105">
        <f>+E9-F9</f>
        <v>0.04444235294117649</v>
      </c>
      <c r="H9" s="7"/>
    </row>
    <row r="10" spans="1:8" s="106" customFormat="1" ht="15">
      <c r="A10" s="7" t="s">
        <v>51</v>
      </c>
      <c r="B10" s="104">
        <f>11000000+17500000</f>
        <v>28500000</v>
      </c>
      <c r="C10" s="85">
        <f aca="true" t="shared" si="0" ref="C10:C23">+B10/12*6</f>
        <v>14250000</v>
      </c>
      <c r="D10" s="104">
        <f>9596652+5629365</f>
        <v>15226017</v>
      </c>
      <c r="E10" s="113">
        <v>0.5</v>
      </c>
      <c r="F10" s="105">
        <f aca="true" t="shared" si="1" ref="F10:F22">+D10/B10*100%</f>
        <v>0.5342462105263158</v>
      </c>
      <c r="G10" s="105">
        <f>+E10-F10</f>
        <v>-0.03424621052631582</v>
      </c>
      <c r="H10" s="7"/>
    </row>
    <row r="11" spans="1:8" s="106" customFormat="1" ht="15">
      <c r="A11" s="7" t="s">
        <v>38</v>
      </c>
      <c r="B11" s="104">
        <v>5000000</v>
      </c>
      <c r="C11" s="85">
        <f t="shared" si="0"/>
        <v>2500000</v>
      </c>
      <c r="D11" s="104">
        <v>2303290</v>
      </c>
      <c r="E11" s="113">
        <v>0.5</v>
      </c>
      <c r="F11" s="105">
        <f t="shared" si="1"/>
        <v>0.460658</v>
      </c>
      <c r="G11" s="105">
        <f aca="true" t="shared" si="2" ref="G11:G22">+E11-F11</f>
        <v>0.03934199999999999</v>
      </c>
      <c r="H11" s="7"/>
    </row>
    <row r="12" spans="1:8" s="106" customFormat="1" ht="15">
      <c r="A12" s="7" t="s">
        <v>41</v>
      </c>
      <c r="B12" s="104">
        <v>5000000</v>
      </c>
      <c r="C12" s="85">
        <f t="shared" si="0"/>
        <v>2500000</v>
      </c>
      <c r="D12" s="104">
        <v>2340170</v>
      </c>
      <c r="E12" s="113">
        <v>0.5</v>
      </c>
      <c r="F12" s="105">
        <f t="shared" si="1"/>
        <v>0.468034</v>
      </c>
      <c r="G12" s="105">
        <f t="shared" si="2"/>
        <v>0.031965999999999994</v>
      </c>
      <c r="H12" s="7" t="s">
        <v>37</v>
      </c>
    </row>
    <row r="13" spans="1:8" s="106" customFormat="1" ht="15">
      <c r="A13" s="7" t="s">
        <v>42</v>
      </c>
      <c r="B13" s="85">
        <v>35000000</v>
      </c>
      <c r="C13" s="85">
        <f t="shared" si="0"/>
        <v>17500000</v>
      </c>
      <c r="D13" s="85">
        <v>13817976</v>
      </c>
      <c r="E13" s="113">
        <v>0.5</v>
      </c>
      <c r="F13" s="105">
        <f t="shared" si="1"/>
        <v>0.3947993142857143</v>
      </c>
      <c r="G13" s="105">
        <f t="shared" si="2"/>
        <v>0.1052006857142857</v>
      </c>
      <c r="H13" s="7"/>
    </row>
    <row r="14" spans="1:8" s="106" customFormat="1" ht="15">
      <c r="A14" s="7" t="s">
        <v>61</v>
      </c>
      <c r="B14" s="85">
        <f>147712+100000+100000</f>
        <v>347712</v>
      </c>
      <c r="C14" s="85">
        <f t="shared" si="0"/>
        <v>173856</v>
      </c>
      <c r="D14" s="85">
        <f>35654+50756+119572+1272+15664</f>
        <v>222918</v>
      </c>
      <c r="E14" s="113">
        <v>0.5</v>
      </c>
      <c r="F14" s="105">
        <f t="shared" si="1"/>
        <v>0.6410995306460519</v>
      </c>
      <c r="G14" s="105">
        <f t="shared" si="2"/>
        <v>-0.14109953064605185</v>
      </c>
      <c r="H14" s="7"/>
    </row>
    <row r="15" spans="1:8" s="106" customFormat="1" ht="15">
      <c r="A15" s="7" t="s">
        <v>43</v>
      </c>
      <c r="B15" s="85">
        <v>1000000</v>
      </c>
      <c r="C15" s="85">
        <f t="shared" si="0"/>
        <v>500000</v>
      </c>
      <c r="D15" s="85">
        <f>3644516+30235</f>
        <v>3674751</v>
      </c>
      <c r="E15" s="113">
        <v>0.5</v>
      </c>
      <c r="F15" s="105">
        <f t="shared" si="1"/>
        <v>3.674751</v>
      </c>
      <c r="G15" s="105">
        <f t="shared" si="2"/>
        <v>-3.174751</v>
      </c>
      <c r="H15" s="7"/>
    </row>
    <row r="16" spans="1:8" s="106" customFormat="1" ht="15">
      <c r="A16" s="7" t="s">
        <v>44</v>
      </c>
      <c r="B16" s="85">
        <f>500+2659650</f>
        <v>2660150</v>
      </c>
      <c r="C16" s="85">
        <f t="shared" si="0"/>
        <v>1330075</v>
      </c>
      <c r="D16" s="85">
        <f>259250</f>
        <v>259250</v>
      </c>
      <c r="E16" s="113">
        <v>0.5</v>
      </c>
      <c r="F16" s="105">
        <f t="shared" si="1"/>
        <v>0.09745691032460575</v>
      </c>
      <c r="G16" s="105">
        <f t="shared" si="2"/>
        <v>0.40254308967539426</v>
      </c>
      <c r="H16" s="7"/>
    </row>
    <row r="17" spans="1:8" s="106" customFormat="1" ht="15">
      <c r="A17" s="7" t="s">
        <v>47</v>
      </c>
      <c r="B17" s="85">
        <f>1000000+2500000+12911000+8608000</f>
        <v>25019000</v>
      </c>
      <c r="C17" s="85">
        <f t="shared" si="0"/>
        <v>12509500</v>
      </c>
      <c r="D17" s="85">
        <v>16052824</v>
      </c>
      <c r="E17" s="113">
        <v>0.5</v>
      </c>
      <c r="F17" s="105">
        <f t="shared" si="1"/>
        <v>0.6416253247531876</v>
      </c>
      <c r="G17" s="105">
        <f t="shared" si="2"/>
        <v>-0.14162532475318756</v>
      </c>
      <c r="H17" s="7"/>
    </row>
    <row r="18" spans="1:8" s="106" customFormat="1" ht="15">
      <c r="A18" s="7" t="s">
        <v>64</v>
      </c>
      <c r="B18" s="85">
        <v>8343000</v>
      </c>
      <c r="C18" s="85">
        <f t="shared" si="0"/>
        <v>4171500</v>
      </c>
      <c r="D18" s="85">
        <f>800000+1740000+770000</f>
        <v>3310000</v>
      </c>
      <c r="E18" s="113">
        <v>0.5</v>
      </c>
      <c r="F18" s="105">
        <f t="shared" si="1"/>
        <v>0.3967397818530505</v>
      </c>
      <c r="G18" s="105">
        <f t="shared" si="2"/>
        <v>0.10326021814694952</v>
      </c>
      <c r="H18" s="7"/>
    </row>
    <row r="19" spans="1:8" s="106" customFormat="1" ht="15">
      <c r="A19" s="7" t="s">
        <v>45</v>
      </c>
      <c r="B19" s="85">
        <f>300000+20000+5215</f>
        <v>325215</v>
      </c>
      <c r="C19" s="85">
        <f t="shared" si="0"/>
        <v>162607.5</v>
      </c>
      <c r="D19" s="85">
        <f>293495+245+6932</f>
        <v>300672</v>
      </c>
      <c r="E19" s="113">
        <v>0.5</v>
      </c>
      <c r="F19" s="105">
        <f>+D19/B19*100%</f>
        <v>0.92453300124533</v>
      </c>
      <c r="G19" s="105">
        <f>+E19-F19</f>
        <v>-0.42453300124533</v>
      </c>
      <c r="H19" s="7"/>
    </row>
    <row r="20" spans="1:8" s="106" customFormat="1" ht="15">
      <c r="A20" s="7" t="s">
        <v>60</v>
      </c>
      <c r="B20" s="85">
        <f>400000+300000+30000</f>
        <v>730000</v>
      </c>
      <c r="C20" s="85">
        <f t="shared" si="0"/>
        <v>365000</v>
      </c>
      <c r="D20" s="85">
        <f>1244+50659</f>
        <v>51903</v>
      </c>
      <c r="E20" s="113">
        <v>0.5</v>
      </c>
      <c r="F20" s="105">
        <f t="shared" si="1"/>
        <v>0.0711</v>
      </c>
      <c r="G20" s="105">
        <f t="shared" si="2"/>
        <v>0.4289</v>
      </c>
      <c r="H20" s="7"/>
    </row>
    <row r="21" spans="1:8" s="106" customFormat="1" ht="15">
      <c r="A21" s="7" t="s">
        <v>46</v>
      </c>
      <c r="B21" s="85">
        <v>1800000</v>
      </c>
      <c r="C21" s="85">
        <f t="shared" si="0"/>
        <v>900000</v>
      </c>
      <c r="D21" s="85">
        <v>863146</v>
      </c>
      <c r="E21" s="113">
        <v>0.5</v>
      </c>
      <c r="F21" s="105">
        <f t="shared" si="1"/>
        <v>0.47952555555555554</v>
      </c>
      <c r="G21" s="105">
        <f t="shared" si="2"/>
        <v>0.020474444444444462</v>
      </c>
      <c r="H21" s="7"/>
    </row>
    <row r="22" spans="1:8" s="4" customFormat="1" ht="15">
      <c r="A22" s="6" t="s">
        <v>11</v>
      </c>
      <c r="B22" s="44">
        <f>20000+3220+40000+45000+50000</f>
        <v>158220</v>
      </c>
      <c r="C22" s="85">
        <f t="shared" si="0"/>
        <v>79110</v>
      </c>
      <c r="D22" s="85">
        <f>38271+19242+119572+2596+995+22330+16268+23767+103000</f>
        <v>346041</v>
      </c>
      <c r="E22" s="113">
        <v>0.5</v>
      </c>
      <c r="F22" s="8">
        <f t="shared" si="1"/>
        <v>2.1870875995449373</v>
      </c>
      <c r="G22" s="8">
        <f t="shared" si="2"/>
        <v>-1.6870875995449373</v>
      </c>
      <c r="H22" s="6"/>
    </row>
    <row r="23" spans="1:8" s="9" customFormat="1" ht="15.75">
      <c r="A23" s="10" t="s">
        <v>12</v>
      </c>
      <c r="B23" s="45">
        <f>SUM(B9:B22)</f>
        <v>122383297</v>
      </c>
      <c r="C23" s="107">
        <f t="shared" si="0"/>
        <v>61191648.5</v>
      </c>
      <c r="D23" s="45">
        <f>SUM(D9:D22)</f>
        <v>62641198</v>
      </c>
      <c r="E23" s="113">
        <v>0.5</v>
      </c>
      <c r="F23" s="27">
        <f>+D23/B23*100%</f>
        <v>0.511844340980616</v>
      </c>
      <c r="G23" s="27">
        <f>+E23-F23</f>
        <v>-0.011844340980616042</v>
      </c>
      <c r="H23" s="10"/>
    </row>
    <row r="24" spans="1:8" s="4" customFormat="1" ht="15">
      <c r="A24" s="6"/>
      <c r="B24" s="34"/>
      <c r="C24" s="34"/>
      <c r="D24" s="34"/>
      <c r="E24" s="5"/>
      <c r="F24" s="6"/>
      <c r="G24" s="6"/>
      <c r="H24" s="6"/>
    </row>
    <row r="25" spans="1:8" s="4" customFormat="1" ht="15">
      <c r="A25" s="6"/>
      <c r="B25" s="34"/>
      <c r="C25" s="34"/>
      <c r="D25" s="34"/>
      <c r="E25" s="6"/>
      <c r="F25" s="6"/>
      <c r="G25" s="6"/>
      <c r="H25" s="6"/>
    </row>
    <row r="26" spans="1:3" s="4" customFormat="1" ht="15">
      <c r="A26" s="4" t="s">
        <v>52</v>
      </c>
      <c r="C26" s="46"/>
    </row>
    <row r="27" spans="1:4" s="4" customFormat="1" ht="15">
      <c r="A27" s="4" t="s">
        <v>53</v>
      </c>
      <c r="B27" s="46"/>
      <c r="C27" s="46"/>
      <c r="D27" s="48"/>
    </row>
    <row r="28" spans="2:3" ht="16.5" thickBot="1">
      <c r="B28" s="47"/>
      <c r="C28" s="49">
        <f>SUM(C26:C27)</f>
        <v>0</v>
      </c>
    </row>
    <row r="29" ht="13.5" thickTop="1"/>
  </sheetData>
  <mergeCells count="1">
    <mergeCell ref="A4:H4"/>
  </mergeCells>
  <printOptions/>
  <pageMargins left="0" right="0.15748031496062992" top="0.984251968503937" bottom="0.984251968503937" header="0.5118110236220472" footer="0.5118110236220472"/>
  <pageSetup firstPageNumber="4" useFirstPageNumber="1"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33"/>
    <pageSetUpPr fitToPage="1"/>
  </sheetPr>
  <dimension ref="A2:H28"/>
  <sheetViews>
    <sheetView workbookViewId="0" topLeftCell="A1">
      <selection activeCell="D1" sqref="D1"/>
    </sheetView>
  </sheetViews>
  <sheetFormatPr defaultColWidth="9.140625" defaultRowHeight="12.75"/>
  <cols>
    <col min="1" max="1" width="36.57421875" style="0" bestFit="1" customWidth="1"/>
    <col min="2" max="2" width="14.28125" style="0" customWidth="1"/>
    <col min="3" max="3" width="17.7109375" style="0" customWidth="1"/>
    <col min="4" max="7" width="13.7109375" style="0" customWidth="1"/>
    <col min="8" max="8" width="20.421875" style="0" hidden="1" customWidth="1"/>
    <col min="9" max="9" width="10.28125" style="0" bestFit="1" customWidth="1"/>
  </cols>
  <sheetData>
    <row r="2" spans="1:8" ht="18">
      <c r="A2" s="32" t="s">
        <v>13</v>
      </c>
      <c r="B2" s="32"/>
      <c r="C2" s="32"/>
      <c r="D2" s="32"/>
      <c r="E2" s="32"/>
      <c r="F2" s="32"/>
      <c r="G2" s="32"/>
      <c r="H2" s="32"/>
    </row>
    <row r="3" spans="1:8" ht="15.75">
      <c r="A3" s="33" t="s">
        <v>1</v>
      </c>
      <c r="B3" s="33"/>
      <c r="C3" s="33"/>
      <c r="D3" s="33"/>
      <c r="E3" s="33"/>
      <c r="F3" s="33"/>
      <c r="G3" s="33"/>
      <c r="H3" s="33"/>
    </row>
    <row r="4" spans="1:8" ht="15.75">
      <c r="A4" s="114" t="s">
        <v>102</v>
      </c>
      <c r="B4" s="114"/>
      <c r="C4" s="114"/>
      <c r="D4" s="114"/>
      <c r="E4" s="114"/>
      <c r="F4" s="114"/>
      <c r="G4" s="114"/>
      <c r="H4" s="114"/>
    </row>
    <row r="5" spans="1:8" ht="12.75">
      <c r="A5" s="3"/>
      <c r="B5" s="3"/>
      <c r="C5" s="3"/>
      <c r="D5" s="3"/>
      <c r="E5" s="3"/>
      <c r="F5" s="3"/>
      <c r="G5" s="3"/>
      <c r="H5" s="3"/>
    </row>
    <row r="6" ht="9" customHeight="1"/>
    <row r="7" spans="1:8" s="4" customFormat="1" ht="76.5" customHeight="1">
      <c r="A7" s="11" t="s">
        <v>2</v>
      </c>
      <c r="B7" s="11" t="s">
        <v>3</v>
      </c>
      <c r="C7" s="11" t="s">
        <v>54</v>
      </c>
      <c r="D7" s="11" t="s">
        <v>55</v>
      </c>
      <c r="E7" s="11" t="s">
        <v>56</v>
      </c>
      <c r="F7" s="11" t="s">
        <v>5</v>
      </c>
      <c r="G7" s="11" t="s">
        <v>6</v>
      </c>
      <c r="H7" s="11" t="s">
        <v>7</v>
      </c>
    </row>
    <row r="8" spans="1:8" s="4" customFormat="1" ht="15">
      <c r="A8" s="5" t="s">
        <v>37</v>
      </c>
      <c r="B8" s="5" t="s">
        <v>37</v>
      </c>
      <c r="C8" s="5" t="s">
        <v>37</v>
      </c>
      <c r="D8" s="5" t="s">
        <v>37</v>
      </c>
      <c r="E8" s="5" t="s">
        <v>8</v>
      </c>
      <c r="F8" s="5" t="s">
        <v>9</v>
      </c>
      <c r="G8" s="5" t="s">
        <v>10</v>
      </c>
      <c r="H8" s="6"/>
    </row>
    <row r="9" spans="1:8" s="4" customFormat="1" ht="15">
      <c r="A9" s="6" t="s">
        <v>39</v>
      </c>
      <c r="B9" s="44">
        <v>8500000</v>
      </c>
      <c r="C9" s="44">
        <f>+B9/12</f>
        <v>708333.3333333334</v>
      </c>
      <c r="D9" s="43">
        <v>761658</v>
      </c>
      <c r="E9" s="8">
        <v>0.0833</v>
      </c>
      <c r="F9" s="8">
        <f aca="true" t="shared" si="0" ref="F9:F23">+D9/B9*100%</f>
        <v>0.08960682352941177</v>
      </c>
      <c r="G9" s="8">
        <f aca="true" t="shared" si="1" ref="G9:G23">+E9-F9</f>
        <v>-0.0063068235294117675</v>
      </c>
      <c r="H9" s="6"/>
    </row>
    <row r="10" spans="1:8" s="4" customFormat="1" ht="15">
      <c r="A10" s="6" t="s">
        <v>51</v>
      </c>
      <c r="B10" s="43">
        <f>11000000+17500000</f>
        <v>28500000</v>
      </c>
      <c r="C10" s="44">
        <f aca="true" t="shared" si="2" ref="C10:C22">+B10/12</f>
        <v>2375000</v>
      </c>
      <c r="D10" s="43">
        <f>1702214+25877</f>
        <v>1728091</v>
      </c>
      <c r="E10" s="8">
        <v>0.0833</v>
      </c>
      <c r="F10" s="8">
        <f t="shared" si="0"/>
        <v>0.06063477192982456</v>
      </c>
      <c r="G10" s="8">
        <f t="shared" si="1"/>
        <v>0.022665228070175437</v>
      </c>
      <c r="H10" s="6"/>
    </row>
    <row r="11" spans="1:8" s="4" customFormat="1" ht="15">
      <c r="A11" s="6" t="s">
        <v>38</v>
      </c>
      <c r="B11" s="43">
        <v>5000000</v>
      </c>
      <c r="C11" s="44">
        <f t="shared" si="2"/>
        <v>416666.6666666667</v>
      </c>
      <c r="D11" s="43">
        <v>376289</v>
      </c>
      <c r="E11" s="8">
        <v>0.0833</v>
      </c>
      <c r="F11" s="8">
        <f t="shared" si="0"/>
        <v>0.0752578</v>
      </c>
      <c r="G11" s="8">
        <f t="shared" si="1"/>
        <v>0.0080422</v>
      </c>
      <c r="H11" s="6"/>
    </row>
    <row r="12" spans="1:8" s="4" customFormat="1" ht="15">
      <c r="A12" s="7" t="s">
        <v>41</v>
      </c>
      <c r="B12" s="43">
        <v>5000000</v>
      </c>
      <c r="C12" s="44">
        <f t="shared" si="2"/>
        <v>416666.6666666667</v>
      </c>
      <c r="D12" s="43">
        <v>400770</v>
      </c>
      <c r="E12" s="8">
        <v>0.0833</v>
      </c>
      <c r="F12" s="8">
        <f t="shared" si="0"/>
        <v>0.080154</v>
      </c>
      <c r="G12" s="8">
        <f t="shared" si="1"/>
        <v>0.003145999999999996</v>
      </c>
      <c r="H12" s="6" t="s">
        <v>37</v>
      </c>
    </row>
    <row r="13" spans="1:8" s="4" customFormat="1" ht="15">
      <c r="A13" s="6" t="s">
        <v>42</v>
      </c>
      <c r="B13" s="44">
        <v>35000000</v>
      </c>
      <c r="C13" s="44">
        <f t="shared" si="2"/>
        <v>2916666.6666666665</v>
      </c>
      <c r="D13" s="44">
        <v>2369450</v>
      </c>
      <c r="E13" s="8">
        <v>0.0833</v>
      </c>
      <c r="F13" s="8">
        <f t="shared" si="0"/>
        <v>0.06769857142857143</v>
      </c>
      <c r="G13" s="8">
        <f t="shared" si="1"/>
        <v>0.015601428571428572</v>
      </c>
      <c r="H13" s="6"/>
    </row>
    <row r="14" spans="1:8" s="4" customFormat="1" ht="15">
      <c r="A14" s="6" t="s">
        <v>61</v>
      </c>
      <c r="B14" s="44">
        <f>147712+100000+100000</f>
        <v>347712</v>
      </c>
      <c r="C14" s="44">
        <f t="shared" si="2"/>
        <v>28976</v>
      </c>
      <c r="D14" s="85"/>
      <c r="E14" s="8">
        <v>0.0833</v>
      </c>
      <c r="F14" s="8">
        <f t="shared" si="0"/>
        <v>0</v>
      </c>
      <c r="G14" s="8">
        <f t="shared" si="1"/>
        <v>0.0833</v>
      </c>
      <c r="H14" s="6"/>
    </row>
    <row r="15" spans="1:8" s="4" customFormat="1" ht="15">
      <c r="A15" s="6" t="s">
        <v>43</v>
      </c>
      <c r="B15" s="44">
        <v>1000000</v>
      </c>
      <c r="C15" s="44">
        <f t="shared" si="2"/>
        <v>83333.33333333333</v>
      </c>
      <c r="D15" s="85">
        <v>648166</v>
      </c>
      <c r="E15" s="8">
        <v>0.0833</v>
      </c>
      <c r="F15" s="8">
        <f t="shared" si="0"/>
        <v>0.648166</v>
      </c>
      <c r="G15" s="8">
        <f t="shared" si="1"/>
        <v>-0.564866</v>
      </c>
      <c r="H15" s="6"/>
    </row>
    <row r="16" spans="1:8" s="4" customFormat="1" ht="15">
      <c r="A16" s="6" t="s">
        <v>44</v>
      </c>
      <c r="B16" s="44">
        <f>500+2659650</f>
        <v>2660150</v>
      </c>
      <c r="C16" s="44">
        <f t="shared" si="2"/>
        <v>221679.16666666666</v>
      </c>
      <c r="D16" s="44"/>
      <c r="E16" s="8">
        <v>0.0833</v>
      </c>
      <c r="F16" s="8">
        <f t="shared" si="0"/>
        <v>0</v>
      </c>
      <c r="G16" s="8">
        <f t="shared" si="1"/>
        <v>0.0833</v>
      </c>
      <c r="H16" s="6"/>
    </row>
    <row r="17" spans="1:8" s="4" customFormat="1" ht="15">
      <c r="A17" s="6" t="s">
        <v>47</v>
      </c>
      <c r="B17" s="44">
        <f>1000000+2500000+12911000+8608000</f>
        <v>25019000</v>
      </c>
      <c r="C17" s="44">
        <f t="shared" si="2"/>
        <v>2084916.6666666667</v>
      </c>
      <c r="D17" s="85"/>
      <c r="E17" s="8">
        <v>0.0833</v>
      </c>
      <c r="F17" s="8">
        <f t="shared" si="0"/>
        <v>0</v>
      </c>
      <c r="G17" s="8">
        <f t="shared" si="1"/>
        <v>0.0833</v>
      </c>
      <c r="H17" s="6"/>
    </row>
    <row r="18" spans="1:8" s="4" customFormat="1" ht="15">
      <c r="A18" s="6" t="s">
        <v>64</v>
      </c>
      <c r="B18" s="44">
        <v>8343000</v>
      </c>
      <c r="C18" s="44">
        <f t="shared" si="2"/>
        <v>695250</v>
      </c>
      <c r="D18" s="85">
        <v>770000</v>
      </c>
      <c r="E18" s="8">
        <v>0.0833</v>
      </c>
      <c r="F18" s="8">
        <f>+D18/B18*100%</f>
        <v>0.09229294018938032</v>
      </c>
      <c r="G18" s="8">
        <f>+E18-F18</f>
        <v>-0.008992940189380322</v>
      </c>
      <c r="H18" s="6"/>
    </row>
    <row r="19" spans="1:8" s="4" customFormat="1" ht="15">
      <c r="A19" s="6" t="s">
        <v>45</v>
      </c>
      <c r="B19" s="44">
        <f>300000+20000+5215</f>
        <v>325215</v>
      </c>
      <c r="C19" s="44">
        <f t="shared" si="2"/>
        <v>27101.25</v>
      </c>
      <c r="D19" s="44">
        <v>9497</v>
      </c>
      <c r="E19" s="8">
        <v>0.0833</v>
      </c>
      <c r="F19" s="8">
        <f t="shared" si="0"/>
        <v>0.02920222006979998</v>
      </c>
      <c r="G19" s="8">
        <f t="shared" si="1"/>
        <v>0.05409777993020002</v>
      </c>
      <c r="H19" s="6"/>
    </row>
    <row r="20" spans="1:8" s="4" customFormat="1" ht="15">
      <c r="A20" s="6" t="s">
        <v>60</v>
      </c>
      <c r="B20" s="44">
        <f>400000+300000+30000</f>
        <v>730000</v>
      </c>
      <c r="C20" s="44">
        <f t="shared" si="2"/>
        <v>60833.333333333336</v>
      </c>
      <c r="D20" s="85"/>
      <c r="E20" s="8">
        <v>0.0833</v>
      </c>
      <c r="F20" s="8">
        <f t="shared" si="0"/>
        <v>0</v>
      </c>
      <c r="G20" s="8">
        <f t="shared" si="1"/>
        <v>0.0833</v>
      </c>
      <c r="H20" s="6"/>
    </row>
    <row r="21" spans="1:8" s="4" customFormat="1" ht="15">
      <c r="A21" s="6" t="s">
        <v>46</v>
      </c>
      <c r="B21" s="44">
        <v>1800000</v>
      </c>
      <c r="C21" s="44">
        <f t="shared" si="2"/>
        <v>150000</v>
      </c>
      <c r="D21" s="44"/>
      <c r="E21" s="8">
        <v>0.0833</v>
      </c>
      <c r="F21" s="8">
        <f t="shared" si="0"/>
        <v>0</v>
      </c>
      <c r="G21" s="8">
        <f t="shared" si="1"/>
        <v>0.0833</v>
      </c>
      <c r="H21" s="6"/>
    </row>
    <row r="22" spans="1:8" s="4" customFormat="1" ht="15">
      <c r="A22" s="6" t="s">
        <v>11</v>
      </c>
      <c r="B22" s="44">
        <f>20000+3220+40000+45000+50000</f>
        <v>158220</v>
      </c>
      <c r="C22" s="44">
        <f t="shared" si="2"/>
        <v>13185</v>
      </c>
      <c r="D22" s="44">
        <f>956+96+223+4201</f>
        <v>5476</v>
      </c>
      <c r="E22" s="8">
        <v>0.0833</v>
      </c>
      <c r="F22" s="8">
        <f t="shared" si="0"/>
        <v>0.03461003665781823</v>
      </c>
      <c r="G22" s="8">
        <f t="shared" si="1"/>
        <v>0.04868996334218177</v>
      </c>
      <c r="H22" s="6"/>
    </row>
    <row r="23" spans="1:8" s="9" customFormat="1" ht="15.75">
      <c r="A23" s="10" t="s">
        <v>12</v>
      </c>
      <c r="B23" s="45">
        <f>SUM(B9:B22)</f>
        <v>122383297</v>
      </c>
      <c r="C23" s="45">
        <f>SUM(C9:C22)</f>
        <v>10198608.083333334</v>
      </c>
      <c r="D23" s="45">
        <f>SUM(D9:D22)</f>
        <v>7069397</v>
      </c>
      <c r="E23" s="27">
        <v>0.0833</v>
      </c>
      <c r="F23" s="27">
        <f t="shared" si="0"/>
        <v>0.05776439410681999</v>
      </c>
      <c r="G23" s="27">
        <f t="shared" si="1"/>
        <v>0.025535605893180012</v>
      </c>
      <c r="H23" s="10"/>
    </row>
    <row r="24" spans="1:8" s="4" customFormat="1" ht="15">
      <c r="A24" s="6"/>
      <c r="B24" s="34"/>
      <c r="C24" s="34"/>
      <c r="D24" s="34"/>
      <c r="E24" s="5"/>
      <c r="F24" s="6"/>
      <c r="G24" s="6"/>
      <c r="H24" s="6"/>
    </row>
    <row r="25" spans="1:8" s="4" customFormat="1" ht="15">
      <c r="A25" s="6"/>
      <c r="B25" s="34"/>
      <c r="C25" s="34"/>
      <c r="D25" s="34"/>
      <c r="E25" s="6"/>
      <c r="F25" s="6"/>
      <c r="G25" s="6"/>
      <c r="H25" s="6"/>
    </row>
    <row r="26" spans="1:3" s="4" customFormat="1" ht="15">
      <c r="A26" s="4" t="s">
        <v>52</v>
      </c>
      <c r="C26" s="46">
        <v>25877</v>
      </c>
    </row>
    <row r="27" spans="1:4" s="4" customFormat="1" ht="15">
      <c r="A27" s="4" t="s">
        <v>53</v>
      </c>
      <c r="B27" s="46"/>
      <c r="C27" s="46">
        <v>1702214</v>
      </c>
      <c r="D27" s="48"/>
    </row>
    <row r="28" spans="2:3" ht="16.5" thickBot="1">
      <c r="B28" s="47"/>
      <c r="C28" s="49">
        <f>SUM(C26:C27)</f>
        <v>1728091</v>
      </c>
    </row>
    <row r="29" ht="13.5" thickTop="1"/>
  </sheetData>
  <mergeCells count="2">
    <mergeCell ref="A4:D4"/>
    <mergeCell ref="E4:H4"/>
  </mergeCells>
  <printOptions/>
  <pageMargins left="0" right="0.15748031496062992" top="0.984251968503937" bottom="0.984251968503937" header="0.5118110236220472" footer="0.5118110236220472"/>
  <pageSetup firstPageNumber="5" useFirstPageNumber="1"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33"/>
  </sheetPr>
  <dimension ref="A1:H58"/>
  <sheetViews>
    <sheetView workbookViewId="0" topLeftCell="A1">
      <selection activeCell="A45" sqref="A45"/>
    </sheetView>
  </sheetViews>
  <sheetFormatPr defaultColWidth="9.140625" defaultRowHeight="12.75"/>
  <cols>
    <col min="1" max="1" width="29.7109375" style="0" customWidth="1"/>
    <col min="2" max="2" width="12.00390625" style="0" customWidth="1"/>
    <col min="3" max="3" width="14.140625" style="0" customWidth="1"/>
    <col min="4" max="4" width="12.8515625" style="0" customWidth="1"/>
    <col min="5" max="5" width="11.00390625" style="0" customWidth="1"/>
    <col min="6" max="6" width="11.8515625" style="0" customWidth="1"/>
    <col min="7" max="7" width="11.140625" style="0" customWidth="1"/>
    <col min="8" max="8" width="18.421875" style="0" hidden="1" customWidth="1"/>
  </cols>
  <sheetData>
    <row r="1" spans="1:8" ht="18">
      <c r="A1" s="116" t="s">
        <v>30</v>
      </c>
      <c r="B1" s="117"/>
      <c r="C1" s="117"/>
      <c r="D1" s="117"/>
      <c r="E1" s="117"/>
      <c r="F1" s="117"/>
      <c r="G1" s="117"/>
      <c r="H1" s="117"/>
    </row>
    <row r="2" spans="1:8" ht="15.75">
      <c r="A2" s="118" t="s">
        <v>14</v>
      </c>
      <c r="B2" s="117"/>
      <c r="C2" s="117"/>
      <c r="D2" s="117"/>
      <c r="E2" s="117"/>
      <c r="F2" s="117"/>
      <c r="G2" s="117"/>
      <c r="H2" s="117"/>
    </row>
    <row r="3" spans="1:8" ht="15.75">
      <c r="A3" s="114" t="s">
        <v>106</v>
      </c>
      <c r="B3" s="115"/>
      <c r="C3" s="115"/>
      <c r="D3" s="115"/>
      <c r="E3" s="115"/>
      <c r="F3" s="115"/>
      <c r="G3" s="115"/>
      <c r="H3" s="115"/>
    </row>
    <row r="4" spans="1:8" s="15" customFormat="1" ht="51">
      <c r="A4" s="50"/>
      <c r="B4" s="51" t="s">
        <v>16</v>
      </c>
      <c r="C4" s="51" t="s">
        <v>109</v>
      </c>
      <c r="D4" s="51" t="s">
        <v>75</v>
      </c>
      <c r="E4" s="51" t="s">
        <v>17</v>
      </c>
      <c r="F4" s="51" t="s">
        <v>18</v>
      </c>
      <c r="G4" s="52" t="s">
        <v>6</v>
      </c>
      <c r="H4" s="13" t="s">
        <v>7</v>
      </c>
    </row>
    <row r="5" spans="1:8" s="15" customFormat="1" ht="15">
      <c r="A5" s="18"/>
      <c r="B5" s="17" t="s">
        <v>37</v>
      </c>
      <c r="C5" s="17"/>
      <c r="D5" s="17" t="s">
        <v>37</v>
      </c>
      <c r="E5" s="17" t="s">
        <v>8</v>
      </c>
      <c r="F5" s="17" t="s">
        <v>9</v>
      </c>
      <c r="G5" s="17" t="s">
        <v>19</v>
      </c>
      <c r="H5" s="20"/>
    </row>
    <row r="6" spans="1:8" s="15" customFormat="1" ht="14.25">
      <c r="A6" s="16"/>
      <c r="B6" s="17"/>
      <c r="C6" s="17"/>
      <c r="D6" s="17"/>
      <c r="E6" s="55"/>
      <c r="F6" s="17"/>
      <c r="G6" s="17"/>
      <c r="H6" s="20"/>
    </row>
    <row r="7" spans="1:8" s="15" customFormat="1" ht="14.25">
      <c r="A7" s="53" t="s">
        <v>48</v>
      </c>
      <c r="B7" s="54">
        <v>17511949</v>
      </c>
      <c r="C7" s="54">
        <f>B7/12*6</f>
        <v>8755974.5</v>
      </c>
      <c r="D7" s="54">
        <f>5544808+3845464+884797+140965+5055</f>
        <v>10421089</v>
      </c>
      <c r="E7" s="55">
        <v>0.5</v>
      </c>
      <c r="F7" s="55">
        <f>+D7/B7</f>
        <v>0.595084476319569</v>
      </c>
      <c r="G7" s="55">
        <f>+E14-F7</f>
        <v>-0.09508447631956896</v>
      </c>
      <c r="H7" s="16" t="s">
        <v>37</v>
      </c>
    </row>
    <row r="8" spans="1:8" s="15" customFormat="1" ht="14.25" hidden="1">
      <c r="A8" s="56" t="s">
        <v>20</v>
      </c>
      <c r="B8" s="57"/>
      <c r="C8" s="54">
        <f aca="true" t="shared" si="0" ref="C8:C56">B8/12*6</f>
        <v>0</v>
      </c>
      <c r="D8" s="57"/>
      <c r="E8" s="55">
        <v>0.5</v>
      </c>
      <c r="F8" s="55">
        <v>0.2269</v>
      </c>
      <c r="G8" s="55">
        <v>0.0231</v>
      </c>
      <c r="H8" s="20"/>
    </row>
    <row r="9" spans="1:8" s="15" customFormat="1" ht="14.25" hidden="1">
      <c r="A9" s="56" t="s">
        <v>21</v>
      </c>
      <c r="B9" s="57"/>
      <c r="C9" s="54">
        <f t="shared" si="0"/>
        <v>0</v>
      </c>
      <c r="D9" s="57"/>
      <c r="E9" s="55">
        <v>0.5</v>
      </c>
      <c r="F9" s="55">
        <v>0.1466</v>
      </c>
      <c r="G9" s="55">
        <v>0.1034</v>
      </c>
      <c r="H9" s="20"/>
    </row>
    <row r="10" spans="1:8" s="15" customFormat="1" ht="14.25" hidden="1">
      <c r="A10" s="56" t="s">
        <v>22</v>
      </c>
      <c r="B10" s="57"/>
      <c r="C10" s="54">
        <f t="shared" si="0"/>
        <v>0</v>
      </c>
      <c r="D10" s="57"/>
      <c r="E10" s="55">
        <v>0.5</v>
      </c>
      <c r="F10" s="55">
        <v>0.0322</v>
      </c>
      <c r="G10" s="55">
        <v>0.2178</v>
      </c>
      <c r="H10" s="20"/>
    </row>
    <row r="11" spans="1:8" s="15" customFormat="1" ht="14.25" hidden="1">
      <c r="A11" s="56" t="s">
        <v>23</v>
      </c>
      <c r="B11" s="57"/>
      <c r="C11" s="54">
        <f t="shared" si="0"/>
        <v>0</v>
      </c>
      <c r="D11" s="57"/>
      <c r="E11" s="55">
        <v>0.5</v>
      </c>
      <c r="F11" s="55">
        <v>0</v>
      </c>
      <c r="G11" s="55">
        <v>0.25</v>
      </c>
      <c r="H11" s="20"/>
    </row>
    <row r="12" spans="1:8" s="15" customFormat="1" ht="14.25" hidden="1">
      <c r="A12" s="56" t="s">
        <v>24</v>
      </c>
      <c r="B12" s="57"/>
      <c r="C12" s="54">
        <f t="shared" si="0"/>
        <v>0</v>
      </c>
      <c r="D12" s="57"/>
      <c r="E12" s="55">
        <v>0.5</v>
      </c>
      <c r="F12" s="55">
        <v>0</v>
      </c>
      <c r="G12" s="55">
        <v>0.25</v>
      </c>
      <c r="H12" s="20"/>
    </row>
    <row r="13" spans="1:8" s="15" customFormat="1" ht="14.25">
      <c r="A13" s="56"/>
      <c r="B13" s="57"/>
      <c r="C13" s="54"/>
      <c r="D13" s="57"/>
      <c r="E13" s="55"/>
      <c r="F13" s="55"/>
      <c r="G13" s="55"/>
      <c r="H13" s="20"/>
    </row>
    <row r="14" spans="1:8" s="15" customFormat="1" ht="14.25">
      <c r="A14" s="58" t="s">
        <v>25</v>
      </c>
      <c r="B14" s="57">
        <v>3529891</v>
      </c>
      <c r="C14" s="54">
        <f t="shared" si="0"/>
        <v>1764945.5</v>
      </c>
      <c r="D14" s="57">
        <f>987771+1250504+49895</f>
        <v>2288170</v>
      </c>
      <c r="E14" s="55">
        <v>0.5</v>
      </c>
      <c r="F14" s="55">
        <f>+D14/B14</f>
        <v>0.6482268149356453</v>
      </c>
      <c r="G14" s="55">
        <f>E14-F14</f>
        <v>-0.14822681493564527</v>
      </c>
      <c r="H14" s="16"/>
    </row>
    <row r="15" spans="1:8" s="15" customFormat="1" ht="14.25" hidden="1">
      <c r="A15" s="56" t="s">
        <v>20</v>
      </c>
      <c r="B15" s="57"/>
      <c r="C15" s="54">
        <f t="shared" si="0"/>
        <v>0</v>
      </c>
      <c r="D15" s="57"/>
      <c r="E15" s="55">
        <v>0.5</v>
      </c>
      <c r="F15" s="55">
        <v>0.1438</v>
      </c>
      <c r="G15" s="55">
        <v>0.1062</v>
      </c>
      <c r="H15" s="20"/>
    </row>
    <row r="16" spans="1:8" s="15" customFormat="1" ht="14.25" hidden="1">
      <c r="A16" s="56" t="s">
        <v>21</v>
      </c>
      <c r="B16" s="57"/>
      <c r="C16" s="54">
        <f t="shared" si="0"/>
        <v>0</v>
      </c>
      <c r="D16" s="57"/>
      <c r="E16" s="55">
        <v>0.5</v>
      </c>
      <c r="F16" s="55">
        <v>0.8229</v>
      </c>
      <c r="G16" s="55">
        <v>-0.5729</v>
      </c>
      <c r="H16" s="20"/>
    </row>
    <row r="17" spans="1:8" s="15" customFormat="1" ht="14.25" hidden="1">
      <c r="A17" s="56" t="s">
        <v>22</v>
      </c>
      <c r="B17" s="57"/>
      <c r="C17" s="54">
        <f t="shared" si="0"/>
        <v>0</v>
      </c>
      <c r="D17" s="57"/>
      <c r="E17" s="55">
        <v>0.5</v>
      </c>
      <c r="F17" s="59">
        <v>0</v>
      </c>
      <c r="G17" s="59">
        <v>0.25</v>
      </c>
      <c r="H17" s="20"/>
    </row>
    <row r="18" spans="1:8" s="15" customFormat="1" ht="14.25" hidden="1">
      <c r="A18" s="56" t="s">
        <v>23</v>
      </c>
      <c r="B18" s="57"/>
      <c r="C18" s="54">
        <f t="shared" si="0"/>
        <v>0</v>
      </c>
      <c r="D18" s="57"/>
      <c r="E18" s="55">
        <v>0.5</v>
      </c>
      <c r="F18" s="59">
        <v>0</v>
      </c>
      <c r="G18" s="59">
        <v>0.25</v>
      </c>
      <c r="H18" s="20"/>
    </row>
    <row r="19" spans="1:8" s="15" customFormat="1" ht="14.25">
      <c r="A19" s="56"/>
      <c r="B19" s="57"/>
      <c r="C19" s="54"/>
      <c r="D19" s="57"/>
      <c r="E19" s="55"/>
      <c r="F19" s="59"/>
      <c r="G19" s="59"/>
      <c r="H19" s="20"/>
    </row>
    <row r="20" spans="1:8" s="15" customFormat="1" ht="14.25">
      <c r="A20" s="58" t="s">
        <v>26</v>
      </c>
      <c r="B20" s="57">
        <v>10364551</v>
      </c>
      <c r="C20" s="54">
        <f t="shared" si="0"/>
        <v>5182275.5</v>
      </c>
      <c r="D20" s="57">
        <f>3527625+948385+238299</f>
        <v>4714309</v>
      </c>
      <c r="E20" s="55">
        <v>0.5</v>
      </c>
      <c r="F20" s="55">
        <f>+D20/B20</f>
        <v>0.45484932246462</v>
      </c>
      <c r="G20" s="55">
        <f>+E20-F20</f>
        <v>0.04515067753537999</v>
      </c>
      <c r="H20" s="16"/>
    </row>
    <row r="21" spans="1:8" s="15" customFormat="1" ht="14.25" hidden="1">
      <c r="A21" s="56" t="s">
        <v>20</v>
      </c>
      <c r="B21" s="57"/>
      <c r="C21" s="54">
        <f t="shared" si="0"/>
        <v>0</v>
      </c>
      <c r="D21" s="57"/>
      <c r="E21" s="55">
        <v>0.5</v>
      </c>
      <c r="F21" s="55">
        <v>0.165</v>
      </c>
      <c r="G21" s="55">
        <v>0.085</v>
      </c>
      <c r="H21" s="20"/>
    </row>
    <row r="22" spans="1:8" s="15" customFormat="1" ht="14.25" hidden="1">
      <c r="A22" s="56" t="s">
        <v>21</v>
      </c>
      <c r="B22" s="57"/>
      <c r="C22" s="54">
        <f t="shared" si="0"/>
        <v>0</v>
      </c>
      <c r="D22" s="57"/>
      <c r="E22" s="55">
        <v>0.5</v>
      </c>
      <c r="F22" s="55">
        <v>0.1785</v>
      </c>
      <c r="G22" s="55">
        <v>0.0715</v>
      </c>
      <c r="H22" s="20"/>
    </row>
    <row r="23" spans="1:8" s="15" customFormat="1" ht="14.25" hidden="1">
      <c r="A23" s="56" t="s">
        <v>22</v>
      </c>
      <c r="B23" s="57"/>
      <c r="C23" s="54">
        <f t="shared" si="0"/>
        <v>0</v>
      </c>
      <c r="D23" s="57"/>
      <c r="E23" s="55">
        <v>0.5</v>
      </c>
      <c r="F23" s="55">
        <v>0.1173</v>
      </c>
      <c r="G23" s="55">
        <v>0.1327</v>
      </c>
      <c r="H23" s="20"/>
    </row>
    <row r="24" spans="1:8" s="15" customFormat="1" ht="14.25" hidden="1">
      <c r="A24" s="56" t="s">
        <v>23</v>
      </c>
      <c r="B24" s="57"/>
      <c r="C24" s="54">
        <f t="shared" si="0"/>
        <v>0</v>
      </c>
      <c r="D24" s="57"/>
      <c r="E24" s="55">
        <v>0.5</v>
      </c>
      <c r="F24" s="55">
        <v>0.0229</v>
      </c>
      <c r="G24" s="55">
        <v>0.2271</v>
      </c>
      <c r="H24" s="20"/>
    </row>
    <row r="25" spans="1:8" s="15" customFormat="1" ht="14.25">
      <c r="A25" s="56"/>
      <c r="B25" s="57"/>
      <c r="C25" s="54"/>
      <c r="D25" s="57"/>
      <c r="E25" s="55"/>
      <c r="F25" s="55"/>
      <c r="G25" s="55"/>
      <c r="H25" s="20"/>
    </row>
    <row r="26" spans="1:8" s="15" customFormat="1" ht="14.25" hidden="1">
      <c r="A26" s="56" t="s">
        <v>20</v>
      </c>
      <c r="B26" s="57"/>
      <c r="C26" s="54">
        <f t="shared" si="0"/>
        <v>0</v>
      </c>
      <c r="D26" s="57"/>
      <c r="E26" s="55">
        <v>0.5</v>
      </c>
      <c r="F26" s="55">
        <v>0.1594</v>
      </c>
      <c r="G26" s="55">
        <v>0.0906</v>
      </c>
      <c r="H26" s="20"/>
    </row>
    <row r="27" spans="1:8" s="15" customFormat="1" ht="14.25" hidden="1">
      <c r="A27" s="56" t="s">
        <v>27</v>
      </c>
      <c r="B27" s="57"/>
      <c r="C27" s="54">
        <f t="shared" si="0"/>
        <v>0</v>
      </c>
      <c r="D27" s="57"/>
      <c r="E27" s="55">
        <v>0.5</v>
      </c>
      <c r="F27" s="55">
        <v>0.1457</v>
      </c>
      <c r="G27" s="55">
        <v>0.1043</v>
      </c>
      <c r="H27" s="20"/>
    </row>
    <row r="28" spans="1:8" s="15" customFormat="1" ht="14.25" hidden="1">
      <c r="A28" s="56" t="s">
        <v>22</v>
      </c>
      <c r="B28" s="57"/>
      <c r="C28" s="54">
        <f t="shared" si="0"/>
        <v>0</v>
      </c>
      <c r="D28" s="57"/>
      <c r="E28" s="55">
        <v>0.5</v>
      </c>
      <c r="F28" s="59">
        <v>0</v>
      </c>
      <c r="G28" s="59">
        <v>0.25</v>
      </c>
      <c r="H28" s="20"/>
    </row>
    <row r="29" spans="1:8" s="15" customFormat="1" ht="14.25" hidden="1">
      <c r="A29" s="56" t="s">
        <v>23</v>
      </c>
      <c r="B29" s="57"/>
      <c r="C29" s="54">
        <f t="shared" si="0"/>
        <v>0</v>
      </c>
      <c r="D29" s="57"/>
      <c r="E29" s="55">
        <v>0.5</v>
      </c>
      <c r="F29" s="59">
        <v>0</v>
      </c>
      <c r="G29" s="59">
        <v>0.25</v>
      </c>
      <c r="H29" s="20"/>
    </row>
    <row r="30" spans="1:8" s="15" customFormat="1" ht="14.25">
      <c r="A30" s="58" t="s">
        <v>72</v>
      </c>
      <c r="B30" s="57">
        <v>4298748</v>
      </c>
      <c r="C30" s="54">
        <f t="shared" si="0"/>
        <v>2149374</v>
      </c>
      <c r="D30" s="57">
        <f>1245161+105526</f>
        <v>1350687</v>
      </c>
      <c r="E30" s="55">
        <v>0.5</v>
      </c>
      <c r="F30" s="55">
        <f>+D30/B30</f>
        <v>0.31420474054306047</v>
      </c>
      <c r="G30" s="55">
        <f>+E30-F30</f>
        <v>0.18579525945693953</v>
      </c>
      <c r="H30" s="20"/>
    </row>
    <row r="31" spans="1:8" s="15" customFormat="1" ht="14.25">
      <c r="A31" s="56"/>
      <c r="B31" s="57"/>
      <c r="C31" s="54"/>
      <c r="D31" s="57"/>
      <c r="E31" s="55"/>
      <c r="F31" s="59"/>
      <c r="G31" s="59"/>
      <c r="H31" s="20"/>
    </row>
    <row r="32" spans="1:8" s="15" customFormat="1" ht="14.25">
      <c r="A32" s="58" t="s">
        <v>49</v>
      </c>
      <c r="B32" s="57">
        <v>63809704</v>
      </c>
      <c r="C32" s="54">
        <f t="shared" si="0"/>
        <v>31904852</v>
      </c>
      <c r="D32" s="57">
        <f>491294+2544696+2450132+1997938+996731+14125925</f>
        <v>22606716</v>
      </c>
      <c r="E32" s="55">
        <v>0.5</v>
      </c>
      <c r="F32" s="55">
        <f>+D32/B32</f>
        <v>0.35428335476998923</v>
      </c>
      <c r="G32" s="55">
        <f>+E32-F32</f>
        <v>0.14571664523001077</v>
      </c>
      <c r="H32" s="16"/>
    </row>
    <row r="33" spans="1:8" s="15" customFormat="1" ht="14.25" hidden="1">
      <c r="A33" s="56" t="s">
        <v>20</v>
      </c>
      <c r="B33" s="57"/>
      <c r="C33" s="54">
        <f t="shared" si="0"/>
        <v>0</v>
      </c>
      <c r="D33" s="57"/>
      <c r="E33" s="55">
        <v>0.5</v>
      </c>
      <c r="F33" s="55">
        <v>0.2427</v>
      </c>
      <c r="G33" s="55">
        <v>0.0073</v>
      </c>
      <c r="H33" s="20"/>
    </row>
    <row r="34" spans="1:8" s="15" customFormat="1" ht="14.25" hidden="1">
      <c r="A34" s="56" t="s">
        <v>21</v>
      </c>
      <c r="B34" s="57"/>
      <c r="C34" s="54">
        <f t="shared" si="0"/>
        <v>0</v>
      </c>
      <c r="D34" s="57"/>
      <c r="E34" s="55">
        <v>0.5</v>
      </c>
      <c r="F34" s="55">
        <v>0.1357</v>
      </c>
      <c r="G34" s="55">
        <v>0.1143</v>
      </c>
      <c r="H34" s="20"/>
    </row>
    <row r="35" spans="1:8" s="15" customFormat="1" ht="14.25" hidden="1">
      <c r="A35" s="56" t="s">
        <v>22</v>
      </c>
      <c r="B35" s="57"/>
      <c r="C35" s="54">
        <f t="shared" si="0"/>
        <v>0</v>
      </c>
      <c r="D35" s="57"/>
      <c r="E35" s="55">
        <v>0.5</v>
      </c>
      <c r="F35" s="59">
        <v>0</v>
      </c>
      <c r="G35" s="59">
        <v>0.25</v>
      </c>
      <c r="H35" s="20"/>
    </row>
    <row r="36" spans="1:8" s="15" customFormat="1" ht="14.25" hidden="1">
      <c r="A36" s="56" t="s">
        <v>23</v>
      </c>
      <c r="B36" s="57"/>
      <c r="C36" s="54">
        <f t="shared" si="0"/>
        <v>0</v>
      </c>
      <c r="D36" s="57"/>
      <c r="E36" s="55">
        <v>0.5</v>
      </c>
      <c r="F36" s="59">
        <v>0</v>
      </c>
      <c r="G36" s="59">
        <v>0.25</v>
      </c>
      <c r="H36" s="20"/>
    </row>
    <row r="37" spans="1:8" s="15" customFormat="1" ht="14.25">
      <c r="A37" s="56"/>
      <c r="B37" s="57"/>
      <c r="C37" s="54"/>
      <c r="D37" s="57"/>
      <c r="E37" s="55"/>
      <c r="F37" s="59"/>
      <c r="G37" s="59"/>
      <c r="H37" s="20"/>
    </row>
    <row r="38" spans="1:8" s="15" customFormat="1" ht="14.25">
      <c r="A38" s="58" t="s">
        <v>62</v>
      </c>
      <c r="B38" s="57">
        <v>5168810</v>
      </c>
      <c r="C38" s="54">
        <f t="shared" si="0"/>
        <v>2584405</v>
      </c>
      <c r="D38" s="57">
        <v>2722372</v>
      </c>
      <c r="E38" s="55">
        <v>0.5</v>
      </c>
      <c r="F38" s="55">
        <f>+D38/B38</f>
        <v>0.5266922173575737</v>
      </c>
      <c r="G38" s="55">
        <f>+E38-F38</f>
        <v>-0.026692217357573655</v>
      </c>
      <c r="H38" s="16"/>
    </row>
    <row r="39" spans="1:8" s="15" customFormat="1" ht="14.25" hidden="1">
      <c r="A39" s="56" t="s">
        <v>20</v>
      </c>
      <c r="B39" s="57"/>
      <c r="C39" s="54">
        <f t="shared" si="0"/>
        <v>0</v>
      </c>
      <c r="D39" s="57"/>
      <c r="E39" s="55">
        <v>0.5</v>
      </c>
      <c r="F39" s="55">
        <v>0.1384</v>
      </c>
      <c r="G39" s="55">
        <v>0.1116</v>
      </c>
      <c r="H39" s="20"/>
    </row>
    <row r="40" spans="1:8" s="15" customFormat="1" ht="14.25" hidden="1">
      <c r="A40" s="56" t="s">
        <v>28</v>
      </c>
      <c r="B40" s="57"/>
      <c r="C40" s="54">
        <f t="shared" si="0"/>
        <v>0</v>
      </c>
      <c r="D40" s="57"/>
      <c r="E40" s="55">
        <v>0.5</v>
      </c>
      <c r="F40" s="55">
        <v>0.2116</v>
      </c>
      <c r="G40" s="55">
        <v>0.0384</v>
      </c>
      <c r="H40" s="20"/>
    </row>
    <row r="41" spans="1:8" s="15" customFormat="1" ht="14.25" hidden="1">
      <c r="A41" s="56" t="s">
        <v>21</v>
      </c>
      <c r="B41" s="57"/>
      <c r="C41" s="54">
        <f t="shared" si="0"/>
        <v>0</v>
      </c>
      <c r="D41" s="57"/>
      <c r="E41" s="55">
        <v>0.5</v>
      </c>
      <c r="F41" s="55">
        <v>0.1285</v>
      </c>
      <c r="G41" s="55">
        <v>0.1215</v>
      </c>
      <c r="H41" s="20"/>
    </row>
    <row r="42" spans="1:8" s="15" customFormat="1" ht="14.25" hidden="1">
      <c r="A42" s="56" t="s">
        <v>22</v>
      </c>
      <c r="B42" s="57"/>
      <c r="C42" s="54">
        <f t="shared" si="0"/>
        <v>0</v>
      </c>
      <c r="D42" s="57"/>
      <c r="E42" s="55">
        <v>0.5</v>
      </c>
      <c r="F42" s="55">
        <v>0.1592</v>
      </c>
      <c r="G42" s="55">
        <v>0.0908</v>
      </c>
      <c r="H42" s="20"/>
    </row>
    <row r="43" spans="1:8" s="15" customFormat="1" ht="14.25" hidden="1">
      <c r="A43" s="56" t="s">
        <v>23</v>
      </c>
      <c r="B43" s="57"/>
      <c r="C43" s="54">
        <f t="shared" si="0"/>
        <v>0</v>
      </c>
      <c r="D43" s="57"/>
      <c r="E43" s="55">
        <v>0.5</v>
      </c>
      <c r="F43" s="59">
        <v>0</v>
      </c>
      <c r="G43" s="59">
        <v>0.25</v>
      </c>
      <c r="H43" s="20"/>
    </row>
    <row r="44" spans="1:8" s="15" customFormat="1" ht="14.25">
      <c r="A44" s="56"/>
      <c r="B44" s="57"/>
      <c r="C44" s="54"/>
      <c r="D44" s="57"/>
      <c r="E44" s="55"/>
      <c r="F44" s="59"/>
      <c r="G44" s="59"/>
      <c r="H44" s="20"/>
    </row>
    <row r="45" spans="1:8" s="15" customFormat="1" ht="14.25">
      <c r="A45" s="58" t="s">
        <v>50</v>
      </c>
      <c r="B45" s="57">
        <v>17718031</v>
      </c>
      <c r="C45" s="54">
        <f t="shared" si="0"/>
        <v>8859015.5</v>
      </c>
      <c r="D45" s="57">
        <f>1088869+917173+1648987+591641+1910671+372520+1208837</f>
        <v>7738698</v>
      </c>
      <c r="E45" s="55">
        <v>0.5</v>
      </c>
      <c r="F45" s="55">
        <f>+D45/B45</f>
        <v>0.4367696387933851</v>
      </c>
      <c r="G45" s="55">
        <f>+E45-F45</f>
        <v>0.0632303612066149</v>
      </c>
      <c r="H45" s="16"/>
    </row>
    <row r="46" spans="1:8" s="15" customFormat="1" ht="14.25" hidden="1">
      <c r="A46" s="56" t="s">
        <v>20</v>
      </c>
      <c r="B46" s="57">
        <v>1647725</v>
      </c>
      <c r="C46" s="54">
        <f t="shared" si="0"/>
        <v>823862.5</v>
      </c>
      <c r="D46" s="60"/>
      <c r="E46" s="55">
        <v>0.5</v>
      </c>
      <c r="F46" s="55">
        <v>0.1951</v>
      </c>
      <c r="G46" s="55">
        <v>0.0549</v>
      </c>
      <c r="H46" s="20"/>
    </row>
    <row r="47" spans="1:8" s="15" customFormat="1" ht="14.25" hidden="1">
      <c r="A47" s="56" t="s">
        <v>21</v>
      </c>
      <c r="B47" s="57">
        <v>278000</v>
      </c>
      <c r="C47" s="54">
        <f t="shared" si="0"/>
        <v>139000</v>
      </c>
      <c r="D47" s="60"/>
      <c r="E47" s="55">
        <v>0.5</v>
      </c>
      <c r="F47" s="55">
        <v>0.0766</v>
      </c>
      <c r="G47" s="55">
        <v>0.1734</v>
      </c>
      <c r="H47" s="20"/>
    </row>
    <row r="48" spans="1:8" s="15" customFormat="1" ht="14.25" hidden="1">
      <c r="A48" s="61" t="s">
        <v>22</v>
      </c>
      <c r="B48" s="60">
        <v>2000</v>
      </c>
      <c r="C48" s="54">
        <f t="shared" si="0"/>
        <v>1000</v>
      </c>
      <c r="D48" s="60"/>
      <c r="E48" s="55">
        <v>0.5</v>
      </c>
      <c r="F48" s="59">
        <v>0</v>
      </c>
      <c r="G48" s="59">
        <v>0.25</v>
      </c>
      <c r="H48" s="20"/>
    </row>
    <row r="49" spans="1:8" s="15" customFormat="1" ht="14.25" hidden="1">
      <c r="A49" s="61" t="s">
        <v>23</v>
      </c>
      <c r="B49" s="60">
        <v>20000</v>
      </c>
      <c r="C49" s="54">
        <f t="shared" si="0"/>
        <v>10000</v>
      </c>
      <c r="D49" s="60"/>
      <c r="E49" s="55">
        <v>0.5</v>
      </c>
      <c r="F49" s="59">
        <v>0</v>
      </c>
      <c r="G49" s="59">
        <v>0.25</v>
      </c>
      <c r="H49" s="20"/>
    </row>
    <row r="50" spans="1:8" s="15" customFormat="1" ht="14.25">
      <c r="A50" s="61"/>
      <c r="B50" s="60" t="s">
        <v>37</v>
      </c>
      <c r="C50" s="54"/>
      <c r="D50" s="60"/>
      <c r="E50" s="55"/>
      <c r="F50" s="59"/>
      <c r="G50" s="59"/>
      <c r="H50" s="20"/>
    </row>
    <row r="51" spans="1:8" s="15" customFormat="1" ht="14.25" hidden="1">
      <c r="A51" s="61" t="s">
        <v>20</v>
      </c>
      <c r="B51" s="60">
        <v>1295270</v>
      </c>
      <c r="C51" s="54">
        <f t="shared" si="0"/>
        <v>647635</v>
      </c>
      <c r="D51" s="60">
        <v>312818.59</v>
      </c>
      <c r="E51" s="55">
        <v>0.5</v>
      </c>
      <c r="F51" s="55">
        <v>0.2415</v>
      </c>
      <c r="G51" s="55">
        <v>0.0085</v>
      </c>
      <c r="H51" s="20"/>
    </row>
    <row r="52" spans="1:8" s="15" customFormat="1" ht="14.25" hidden="1">
      <c r="A52" s="61" t="s">
        <v>21</v>
      </c>
      <c r="B52" s="60">
        <v>385400</v>
      </c>
      <c r="C52" s="54">
        <f t="shared" si="0"/>
        <v>192700</v>
      </c>
      <c r="D52" s="60">
        <v>64853.83</v>
      </c>
      <c r="E52" s="55">
        <v>0.5</v>
      </c>
      <c r="F52" s="55">
        <v>0.1682</v>
      </c>
      <c r="G52" s="55">
        <v>0.0818</v>
      </c>
      <c r="H52" s="20"/>
    </row>
    <row r="53" spans="1:8" s="15" customFormat="1" ht="14.25" hidden="1">
      <c r="A53" s="61" t="s">
        <v>22</v>
      </c>
      <c r="B53" s="60">
        <v>106000</v>
      </c>
      <c r="C53" s="54">
        <f t="shared" si="0"/>
        <v>53000</v>
      </c>
      <c r="D53" s="60">
        <v>14261.99</v>
      </c>
      <c r="E53" s="55">
        <v>0.5</v>
      </c>
      <c r="F53" s="55">
        <v>0.1345</v>
      </c>
      <c r="G53" s="55">
        <v>0.1155</v>
      </c>
      <c r="H53" s="20"/>
    </row>
    <row r="54" spans="1:8" s="15" customFormat="1" ht="14.25" hidden="1">
      <c r="A54" s="61" t="s">
        <v>23</v>
      </c>
      <c r="B54" s="60">
        <v>60000</v>
      </c>
      <c r="C54" s="54">
        <f t="shared" si="0"/>
        <v>30000</v>
      </c>
      <c r="D54" s="60">
        <v>0</v>
      </c>
      <c r="E54" s="55">
        <v>0.5</v>
      </c>
      <c r="F54" s="59">
        <v>0</v>
      </c>
      <c r="G54" s="59">
        <v>0.25</v>
      </c>
      <c r="H54" s="20"/>
    </row>
    <row r="55" spans="1:8" s="15" customFormat="1" ht="14.25">
      <c r="A55" s="61"/>
      <c r="B55" s="57" t="s">
        <v>37</v>
      </c>
      <c r="C55" s="54"/>
      <c r="D55" s="57"/>
      <c r="E55" s="55"/>
      <c r="F55" s="55"/>
      <c r="G55" s="55"/>
      <c r="H55" s="20"/>
    </row>
    <row r="56" spans="1:8" s="25" customFormat="1" ht="15">
      <c r="A56" s="62" t="s">
        <v>29</v>
      </c>
      <c r="B56" s="63">
        <f>B7+B14+B20+B32+B38+B45+B30</f>
        <v>122401684</v>
      </c>
      <c r="C56" s="84">
        <f t="shared" si="0"/>
        <v>61200842</v>
      </c>
      <c r="D56" s="63">
        <f>D7+D14+D20+D32+D38+D45+D30</f>
        <v>51842041</v>
      </c>
      <c r="E56" s="64">
        <v>0.5</v>
      </c>
      <c r="F56" s="64">
        <f>+D56/B56</f>
        <v>0.42354025946244334</v>
      </c>
      <c r="G56" s="64">
        <f>+E56-F56</f>
        <v>0.07645974053755666</v>
      </c>
      <c r="H56" s="22"/>
    </row>
    <row r="57" spans="1:8" s="15" customFormat="1" ht="14.25">
      <c r="A57" s="61"/>
      <c r="B57" s="60"/>
      <c r="C57" s="60"/>
      <c r="D57" s="60"/>
      <c r="E57" s="55"/>
      <c r="F57" s="55"/>
      <c r="G57" s="55"/>
      <c r="H57" s="20"/>
    </row>
    <row r="58" spans="1:8" s="15" customFormat="1" ht="14.25">
      <c r="A58" s="56"/>
      <c r="B58" s="65"/>
      <c r="C58" s="65"/>
      <c r="D58" s="65"/>
      <c r="E58" s="56"/>
      <c r="F58" s="66"/>
      <c r="G58" s="66"/>
      <c r="H58" s="20"/>
    </row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</sheetData>
  <mergeCells count="3">
    <mergeCell ref="A3:H3"/>
    <mergeCell ref="A1:H1"/>
    <mergeCell ref="A2:H2"/>
  </mergeCells>
  <printOptions/>
  <pageMargins left="0.15748031496062992" right="0.15748031496062992" top="0.5905511811023623" bottom="0.5905511811023623" header="0.5118110236220472" footer="0.5118110236220472"/>
  <pageSetup firstPageNumber="6" useFirstPageNumber="1" horizontalDpi="1200" verticalDpi="12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33"/>
  </sheetPr>
  <dimension ref="A1:J58"/>
  <sheetViews>
    <sheetView workbookViewId="0" topLeftCell="A1">
      <selection activeCell="D47" sqref="D47"/>
    </sheetView>
  </sheetViews>
  <sheetFormatPr defaultColWidth="9.140625" defaultRowHeight="12.75"/>
  <cols>
    <col min="1" max="1" width="27.8515625" style="0" customWidth="1"/>
    <col min="2" max="2" width="14.140625" style="0" customWidth="1"/>
    <col min="3" max="3" width="16.28125" style="0" customWidth="1"/>
    <col min="4" max="4" width="14.28125" style="0" customWidth="1"/>
    <col min="5" max="5" width="11.00390625" style="0" customWidth="1"/>
    <col min="6" max="6" width="13.28125" style="0" customWidth="1"/>
    <col min="7" max="7" width="11.7109375" style="0" customWidth="1"/>
    <col min="8" max="8" width="18.421875" style="0" hidden="1" customWidth="1"/>
    <col min="10" max="10" width="10.7109375" style="0" bestFit="1" customWidth="1"/>
  </cols>
  <sheetData>
    <row r="1" spans="1:8" ht="18">
      <c r="A1" s="116" t="s">
        <v>36</v>
      </c>
      <c r="B1" s="117"/>
      <c r="C1" s="117"/>
      <c r="D1" s="117"/>
      <c r="E1" s="117"/>
      <c r="F1" s="117"/>
      <c r="G1" s="117"/>
      <c r="H1" s="117"/>
    </row>
    <row r="2" spans="1:8" ht="15.75">
      <c r="A2" s="118" t="s">
        <v>14</v>
      </c>
      <c r="B2" s="117"/>
      <c r="C2" s="117"/>
      <c r="D2" s="117"/>
      <c r="E2" s="117"/>
      <c r="F2" s="117"/>
      <c r="G2" s="117"/>
      <c r="H2" s="117"/>
    </row>
    <row r="3" spans="1:8" ht="15.75">
      <c r="A3" s="114" t="s">
        <v>103</v>
      </c>
      <c r="B3" s="115"/>
      <c r="C3" s="115"/>
      <c r="D3" s="115"/>
      <c r="E3" s="115"/>
      <c r="F3" s="115"/>
      <c r="G3" s="115"/>
      <c r="H3" s="115"/>
    </row>
    <row r="4" spans="1:8" ht="15.75">
      <c r="A4" s="2"/>
      <c r="B4" s="29"/>
      <c r="C4" s="29"/>
      <c r="D4" s="29"/>
      <c r="E4" s="29"/>
      <c r="F4" s="29"/>
      <c r="G4" s="29"/>
      <c r="H4" s="29"/>
    </row>
    <row r="5" spans="1:6" ht="12" customHeight="1">
      <c r="A5" s="1"/>
      <c r="B5" s="1"/>
      <c r="C5" s="1"/>
      <c r="D5" s="1"/>
      <c r="E5" s="1"/>
      <c r="F5" s="1"/>
    </row>
    <row r="6" spans="1:8" s="15" customFormat="1" ht="60">
      <c r="A6" s="12" t="s">
        <v>15</v>
      </c>
      <c r="B6" s="13" t="s">
        <v>16</v>
      </c>
      <c r="C6" s="13" t="s">
        <v>65</v>
      </c>
      <c r="D6" s="13" t="s">
        <v>76</v>
      </c>
      <c r="E6" s="13" t="s">
        <v>17</v>
      </c>
      <c r="F6" s="13" t="s">
        <v>18</v>
      </c>
      <c r="G6" s="14" t="s">
        <v>6</v>
      </c>
      <c r="H6" s="13" t="s">
        <v>7</v>
      </c>
    </row>
    <row r="7" spans="1:8" s="15" customFormat="1" ht="15">
      <c r="A7" s="18"/>
      <c r="B7" s="17" t="s">
        <v>37</v>
      </c>
      <c r="C7" s="17" t="s">
        <v>37</v>
      </c>
      <c r="D7" s="17" t="s">
        <v>37</v>
      </c>
      <c r="E7" s="17" t="s">
        <v>8</v>
      </c>
      <c r="F7" s="17" t="s">
        <v>9</v>
      </c>
      <c r="G7" s="17" t="s">
        <v>19</v>
      </c>
      <c r="H7" s="20"/>
    </row>
    <row r="8" spans="1:8" s="15" customFormat="1" ht="14.25">
      <c r="A8" s="16"/>
      <c r="B8" s="17"/>
      <c r="C8" s="17"/>
      <c r="D8" s="17"/>
      <c r="E8" s="17"/>
      <c r="F8" s="17"/>
      <c r="G8" s="17"/>
      <c r="H8" s="20"/>
    </row>
    <row r="9" spans="1:8" s="15" customFormat="1" ht="15">
      <c r="A9" s="18" t="s">
        <v>48</v>
      </c>
      <c r="B9" s="35">
        <v>17511949</v>
      </c>
      <c r="C9" s="35">
        <f>B9/12*1</f>
        <v>1459329.0833333333</v>
      </c>
      <c r="D9" s="35">
        <f>71829+326273+2713+147888+57692</f>
        <v>606395</v>
      </c>
      <c r="E9" s="26">
        <v>0.0833</v>
      </c>
      <c r="F9" s="26">
        <f>+D9/B9</f>
        <v>0.034627499200688625</v>
      </c>
      <c r="G9" s="26">
        <f>+E9-F9</f>
        <v>0.048672500799311375</v>
      </c>
      <c r="H9" s="16" t="s">
        <v>37</v>
      </c>
    </row>
    <row r="10" spans="1:8" s="15" customFormat="1" ht="14.25" hidden="1">
      <c r="A10" s="20" t="s">
        <v>20</v>
      </c>
      <c r="B10" s="36"/>
      <c r="C10" s="36">
        <v>714621</v>
      </c>
      <c r="D10" s="36"/>
      <c r="E10" s="21">
        <v>0.25</v>
      </c>
      <c r="F10" s="26">
        <v>0.2269</v>
      </c>
      <c r="G10" s="26">
        <v>0.0231</v>
      </c>
      <c r="H10" s="20"/>
    </row>
    <row r="11" spans="1:8" s="15" customFormat="1" ht="14.25" hidden="1">
      <c r="A11" s="20" t="s">
        <v>21</v>
      </c>
      <c r="B11" s="36"/>
      <c r="C11" s="36">
        <v>354824.85</v>
      </c>
      <c r="D11" s="36"/>
      <c r="E11" s="21">
        <v>0.25</v>
      </c>
      <c r="F11" s="26">
        <v>0.1466</v>
      </c>
      <c r="G11" s="26">
        <v>0.1034</v>
      </c>
      <c r="H11" s="20"/>
    </row>
    <row r="12" spans="1:8" s="15" customFormat="1" ht="14.25" hidden="1">
      <c r="A12" s="20" t="s">
        <v>22</v>
      </c>
      <c r="B12" s="36"/>
      <c r="C12" s="36">
        <v>4249.98</v>
      </c>
      <c r="D12" s="36"/>
      <c r="E12" s="21">
        <v>0.25</v>
      </c>
      <c r="F12" s="26">
        <v>0.0322</v>
      </c>
      <c r="G12" s="26">
        <v>0.2178</v>
      </c>
      <c r="H12" s="20"/>
    </row>
    <row r="13" spans="1:8" s="15" customFormat="1" ht="14.25" hidden="1">
      <c r="A13" s="20" t="s">
        <v>23</v>
      </c>
      <c r="B13" s="36"/>
      <c r="C13" s="36">
        <v>2499.99</v>
      </c>
      <c r="D13" s="36"/>
      <c r="E13" s="21">
        <v>0.25</v>
      </c>
      <c r="F13" s="26">
        <v>0</v>
      </c>
      <c r="G13" s="26">
        <v>0.25</v>
      </c>
      <c r="H13" s="20"/>
    </row>
    <row r="14" spans="1:8" s="15" customFormat="1" ht="14.25" hidden="1">
      <c r="A14" s="20" t="s">
        <v>24</v>
      </c>
      <c r="B14" s="36"/>
      <c r="C14" s="36">
        <v>39999.99</v>
      </c>
      <c r="D14" s="36"/>
      <c r="E14" s="21">
        <v>0.25</v>
      </c>
      <c r="F14" s="26">
        <v>0</v>
      </c>
      <c r="G14" s="26">
        <v>0.25</v>
      </c>
      <c r="H14" s="20"/>
    </row>
    <row r="15" spans="1:8" s="15" customFormat="1" ht="14.25">
      <c r="A15" s="20"/>
      <c r="B15" s="36"/>
      <c r="C15" s="35"/>
      <c r="D15" s="36"/>
      <c r="E15" s="21"/>
      <c r="F15" s="26"/>
      <c r="G15" s="26"/>
      <c r="H15" s="20"/>
    </row>
    <row r="16" spans="1:8" s="15" customFormat="1" ht="15">
      <c r="A16" s="22" t="s">
        <v>25</v>
      </c>
      <c r="B16" s="36">
        <v>3529891</v>
      </c>
      <c r="C16" s="35">
        <f>B16/12*1</f>
        <v>294157.5833333333</v>
      </c>
      <c r="D16" s="36">
        <f>88346+156812</f>
        <v>245158</v>
      </c>
      <c r="E16" s="26">
        <v>0.0833</v>
      </c>
      <c r="F16" s="26">
        <f>+D16/B16</f>
        <v>0.06945200290887169</v>
      </c>
      <c r="G16" s="26">
        <f>+E16-F16</f>
        <v>0.013847997091128314</v>
      </c>
      <c r="H16" s="16"/>
    </row>
    <row r="17" spans="1:8" s="15" customFormat="1" ht="14.25" hidden="1">
      <c r="A17" s="20" t="s">
        <v>20</v>
      </c>
      <c r="B17" s="36"/>
      <c r="C17" s="36">
        <v>311433.6</v>
      </c>
      <c r="D17" s="36"/>
      <c r="E17" s="21">
        <v>0.25</v>
      </c>
      <c r="F17" s="26">
        <v>0.1438</v>
      </c>
      <c r="G17" s="26">
        <v>0.1062</v>
      </c>
      <c r="H17" s="20"/>
    </row>
    <row r="18" spans="1:8" s="15" customFormat="1" ht="14.25" hidden="1">
      <c r="A18" s="20" t="s">
        <v>21</v>
      </c>
      <c r="B18" s="36"/>
      <c r="C18" s="36">
        <v>139874.85</v>
      </c>
      <c r="D18" s="36"/>
      <c r="E18" s="21">
        <v>0.25</v>
      </c>
      <c r="F18" s="26">
        <v>0.8229</v>
      </c>
      <c r="G18" s="26">
        <v>-0.5729</v>
      </c>
      <c r="H18" s="20"/>
    </row>
    <row r="19" spans="1:8" s="15" customFormat="1" ht="14.25" hidden="1">
      <c r="A19" s="20" t="s">
        <v>22</v>
      </c>
      <c r="B19" s="36"/>
      <c r="C19" s="36">
        <v>249.99</v>
      </c>
      <c r="D19" s="36"/>
      <c r="E19" s="21">
        <v>0.25</v>
      </c>
      <c r="F19" s="19">
        <v>0</v>
      </c>
      <c r="G19" s="19">
        <v>0.25</v>
      </c>
      <c r="H19" s="20"/>
    </row>
    <row r="20" spans="1:8" s="15" customFormat="1" ht="14.25" hidden="1">
      <c r="A20" s="20" t="s">
        <v>23</v>
      </c>
      <c r="B20" s="36"/>
      <c r="C20" s="36">
        <v>4999.98</v>
      </c>
      <c r="D20" s="36"/>
      <c r="E20" s="21">
        <v>0.25</v>
      </c>
      <c r="F20" s="19">
        <v>0</v>
      </c>
      <c r="G20" s="19">
        <v>0.25</v>
      </c>
      <c r="H20" s="20"/>
    </row>
    <row r="21" spans="1:8" s="15" customFormat="1" ht="14.25">
      <c r="A21" s="20"/>
      <c r="B21" s="36"/>
      <c r="C21" s="36"/>
      <c r="D21" s="36"/>
      <c r="E21" s="21"/>
      <c r="F21" s="19"/>
      <c r="G21" s="19"/>
      <c r="H21" s="20"/>
    </row>
    <row r="22" spans="1:8" s="15" customFormat="1" ht="15">
      <c r="A22" s="22" t="s">
        <v>26</v>
      </c>
      <c r="B22" s="36">
        <v>10364551</v>
      </c>
      <c r="C22" s="35">
        <f>B22/12*1</f>
        <v>863712.5833333334</v>
      </c>
      <c r="D22" s="36">
        <f>90701+153002</f>
        <v>243703</v>
      </c>
      <c r="E22" s="26">
        <v>0.0833</v>
      </c>
      <c r="F22" s="26">
        <f>+D22/B22</f>
        <v>0.023513126617834192</v>
      </c>
      <c r="G22" s="26">
        <f>+E22-F22</f>
        <v>0.0597868733821658</v>
      </c>
      <c r="H22" s="16"/>
    </row>
    <row r="23" spans="1:8" s="15" customFormat="1" ht="14.25" hidden="1">
      <c r="A23" s="20" t="s">
        <v>20</v>
      </c>
      <c r="B23" s="36"/>
      <c r="C23" s="36">
        <v>781538.64</v>
      </c>
      <c r="D23" s="36"/>
      <c r="E23" s="21">
        <v>0.25</v>
      </c>
      <c r="F23" s="26">
        <v>0.165</v>
      </c>
      <c r="G23" s="26">
        <v>0.085</v>
      </c>
      <c r="H23" s="20"/>
    </row>
    <row r="24" spans="1:8" s="15" customFormat="1" ht="14.25" hidden="1">
      <c r="A24" s="20" t="s">
        <v>21</v>
      </c>
      <c r="B24" s="36"/>
      <c r="C24" s="36">
        <v>176874.78</v>
      </c>
      <c r="D24" s="36"/>
      <c r="E24" s="21">
        <v>0.25</v>
      </c>
      <c r="F24" s="26">
        <v>0.1785</v>
      </c>
      <c r="G24" s="26">
        <v>0.0715</v>
      </c>
      <c r="H24" s="20"/>
    </row>
    <row r="25" spans="1:8" s="15" customFormat="1" ht="14.25" hidden="1">
      <c r="A25" s="20" t="s">
        <v>22</v>
      </c>
      <c r="B25" s="36"/>
      <c r="C25" s="36">
        <v>25799.94</v>
      </c>
      <c r="D25" s="36"/>
      <c r="E25" s="21">
        <v>0.25</v>
      </c>
      <c r="F25" s="26">
        <v>0.1173</v>
      </c>
      <c r="G25" s="26">
        <v>0.1327</v>
      </c>
      <c r="H25" s="20"/>
    </row>
    <row r="26" spans="1:8" s="15" customFormat="1" ht="14.25" hidden="1">
      <c r="A26" s="20" t="s">
        <v>23</v>
      </c>
      <c r="B26" s="36"/>
      <c r="C26" s="36">
        <v>51749.97</v>
      </c>
      <c r="D26" s="36"/>
      <c r="E26" s="21">
        <v>0.25</v>
      </c>
      <c r="F26" s="26">
        <v>0.0229</v>
      </c>
      <c r="G26" s="26">
        <v>0.2271</v>
      </c>
      <c r="H26" s="20"/>
    </row>
    <row r="27" spans="1:8" s="15" customFormat="1" ht="14.25">
      <c r="A27" s="20"/>
      <c r="B27" s="36"/>
      <c r="C27" s="36"/>
      <c r="D27" s="36"/>
      <c r="E27" s="21"/>
      <c r="F27" s="26"/>
      <c r="G27" s="26"/>
      <c r="H27" s="20"/>
    </row>
    <row r="28" spans="1:8" s="15" customFormat="1" ht="14.25" hidden="1">
      <c r="A28" s="20" t="s">
        <v>20</v>
      </c>
      <c r="B28" s="36"/>
      <c r="C28" s="36">
        <v>360877.41</v>
      </c>
      <c r="D28" s="36"/>
      <c r="E28" s="21">
        <v>0.25</v>
      </c>
      <c r="F28" s="26">
        <v>0.1594</v>
      </c>
      <c r="G28" s="26">
        <v>0.0906</v>
      </c>
      <c r="H28" s="20"/>
    </row>
    <row r="29" spans="1:8" s="15" customFormat="1" ht="14.25" hidden="1">
      <c r="A29" s="20" t="s">
        <v>27</v>
      </c>
      <c r="B29" s="36"/>
      <c r="C29" s="36">
        <v>41999.88</v>
      </c>
      <c r="D29" s="36"/>
      <c r="E29" s="21">
        <v>0.25</v>
      </c>
      <c r="F29" s="26">
        <v>0.1457</v>
      </c>
      <c r="G29" s="26">
        <v>0.1043</v>
      </c>
      <c r="H29" s="20"/>
    </row>
    <row r="30" spans="1:8" s="15" customFormat="1" ht="14.25" hidden="1">
      <c r="A30" s="20" t="s">
        <v>22</v>
      </c>
      <c r="B30" s="36"/>
      <c r="C30" s="36">
        <v>249.99</v>
      </c>
      <c r="D30" s="36"/>
      <c r="E30" s="21">
        <v>0.25</v>
      </c>
      <c r="F30" s="19">
        <v>0</v>
      </c>
      <c r="G30" s="19">
        <v>0.25</v>
      </c>
      <c r="H30" s="20"/>
    </row>
    <row r="31" spans="1:8" s="15" customFormat="1" ht="14.25" hidden="1">
      <c r="A31" s="20" t="s">
        <v>23</v>
      </c>
      <c r="B31" s="36"/>
      <c r="C31" s="36">
        <v>8749.98</v>
      </c>
      <c r="D31" s="36"/>
      <c r="E31" s="21">
        <v>0.25</v>
      </c>
      <c r="F31" s="19">
        <v>0</v>
      </c>
      <c r="G31" s="19">
        <v>0.25</v>
      </c>
      <c r="H31" s="20"/>
    </row>
    <row r="32" spans="1:8" s="15" customFormat="1" ht="30">
      <c r="A32" s="72" t="s">
        <v>72</v>
      </c>
      <c r="B32" s="36">
        <v>4298748</v>
      </c>
      <c r="C32" s="35">
        <f>B32/12*1</f>
        <v>358229</v>
      </c>
      <c r="D32" s="36">
        <v>162177</v>
      </c>
      <c r="E32" s="26">
        <v>0.0833</v>
      </c>
      <c r="F32" s="26">
        <f>+D32/B32</f>
        <v>0.037726565967579395</v>
      </c>
      <c r="G32" s="26">
        <f>+E32-F32</f>
        <v>0.045573434032420604</v>
      </c>
      <c r="H32" s="20"/>
    </row>
    <row r="33" spans="1:8" s="15" customFormat="1" ht="14.25">
      <c r="A33" s="20"/>
      <c r="B33" s="36"/>
      <c r="C33" s="36"/>
      <c r="D33" s="36"/>
      <c r="E33" s="21"/>
      <c r="F33" s="19"/>
      <c r="G33" s="19"/>
      <c r="H33" s="20"/>
    </row>
    <row r="34" spans="1:10" s="15" customFormat="1" ht="15">
      <c r="A34" s="22" t="s">
        <v>49</v>
      </c>
      <c r="B34" s="36">
        <v>63809704</v>
      </c>
      <c r="C34" s="35">
        <f>B34/12*1</f>
        <v>5317475.333333333</v>
      </c>
      <c r="D34" s="36">
        <f>56105+291740+325877+73072+109910+260504</f>
        <v>1117208</v>
      </c>
      <c r="E34" s="26">
        <v>0.0833</v>
      </c>
      <c r="F34" s="26">
        <f>+D34/B34</f>
        <v>0.0175084341403621</v>
      </c>
      <c r="G34" s="26">
        <f>+E34-F34</f>
        <v>0.0657915658596379</v>
      </c>
      <c r="H34" s="16"/>
      <c r="J34" s="68"/>
    </row>
    <row r="35" spans="1:8" s="15" customFormat="1" ht="14.25" hidden="1">
      <c r="A35" s="20" t="s">
        <v>20</v>
      </c>
      <c r="B35" s="36"/>
      <c r="C35" s="36">
        <v>249816.18</v>
      </c>
      <c r="D35" s="36"/>
      <c r="E35" s="21">
        <v>0.25</v>
      </c>
      <c r="F35" s="26">
        <v>0.2427</v>
      </c>
      <c r="G35" s="26">
        <v>0.0073</v>
      </c>
      <c r="H35" s="20"/>
    </row>
    <row r="36" spans="1:8" s="15" customFormat="1" ht="14.25" hidden="1">
      <c r="A36" s="20" t="s">
        <v>21</v>
      </c>
      <c r="B36" s="36"/>
      <c r="C36" s="36">
        <v>50749.92</v>
      </c>
      <c r="D36" s="36"/>
      <c r="E36" s="21">
        <v>0.25</v>
      </c>
      <c r="F36" s="26">
        <v>0.1357</v>
      </c>
      <c r="G36" s="26">
        <v>0.1143</v>
      </c>
      <c r="H36" s="20"/>
    </row>
    <row r="37" spans="1:8" s="15" customFormat="1" ht="14.25" hidden="1">
      <c r="A37" s="20" t="s">
        <v>22</v>
      </c>
      <c r="B37" s="36"/>
      <c r="C37" s="36">
        <v>249.99</v>
      </c>
      <c r="D37" s="36"/>
      <c r="E37" s="21">
        <v>0.25</v>
      </c>
      <c r="F37" s="19">
        <v>0</v>
      </c>
      <c r="G37" s="19">
        <v>0.25</v>
      </c>
      <c r="H37" s="20"/>
    </row>
    <row r="38" spans="1:8" s="15" customFormat="1" ht="14.25" hidden="1">
      <c r="A38" s="20" t="s">
        <v>23</v>
      </c>
      <c r="B38" s="36"/>
      <c r="C38" s="36">
        <v>4999.98</v>
      </c>
      <c r="D38" s="36"/>
      <c r="E38" s="21">
        <v>0.25</v>
      </c>
      <c r="F38" s="19">
        <v>0</v>
      </c>
      <c r="G38" s="19">
        <v>0.25</v>
      </c>
      <c r="H38" s="20"/>
    </row>
    <row r="39" spans="1:10" s="15" customFormat="1" ht="14.25">
      <c r="A39" s="20"/>
      <c r="B39" s="36"/>
      <c r="C39" s="36"/>
      <c r="D39" s="36"/>
      <c r="E39" s="21"/>
      <c r="F39" s="19"/>
      <c r="G39" s="19"/>
      <c r="H39" s="20"/>
      <c r="J39" s="69"/>
    </row>
    <row r="40" spans="1:8" s="15" customFormat="1" ht="15">
      <c r="A40" s="22" t="s">
        <v>62</v>
      </c>
      <c r="B40" s="36">
        <v>5168810</v>
      </c>
      <c r="C40" s="35">
        <f>B40/12*1</f>
        <v>430734.1666666667</v>
      </c>
      <c r="D40" s="36">
        <v>275041</v>
      </c>
      <c r="E40" s="26">
        <v>0.0833</v>
      </c>
      <c r="F40" s="26">
        <f>+D40/B40</f>
        <v>0.0532116676759254</v>
      </c>
      <c r="G40" s="26">
        <f>+E40-F40</f>
        <v>0.030088332324074596</v>
      </c>
      <c r="H40" s="16"/>
    </row>
    <row r="41" spans="1:8" s="15" customFormat="1" ht="14.25" hidden="1">
      <c r="A41" s="20" t="s">
        <v>20</v>
      </c>
      <c r="B41" s="36"/>
      <c r="C41" s="36">
        <v>473681.1</v>
      </c>
      <c r="D41" s="36"/>
      <c r="E41" s="21">
        <v>0.25</v>
      </c>
      <c r="F41" s="26">
        <v>0.1384</v>
      </c>
      <c r="G41" s="26">
        <v>0.1116</v>
      </c>
      <c r="H41" s="20"/>
    </row>
    <row r="42" spans="1:8" s="15" customFormat="1" ht="14.25" hidden="1">
      <c r="A42" s="20" t="s">
        <v>28</v>
      </c>
      <c r="B42" s="36"/>
      <c r="C42" s="36">
        <v>517883.64</v>
      </c>
      <c r="D42" s="36"/>
      <c r="E42" s="21">
        <v>0.25</v>
      </c>
      <c r="F42" s="26">
        <v>0.2116</v>
      </c>
      <c r="G42" s="26">
        <v>0.0384</v>
      </c>
      <c r="H42" s="20"/>
    </row>
    <row r="43" spans="1:8" s="15" customFormat="1" ht="14.25" hidden="1">
      <c r="A43" s="20" t="s">
        <v>21</v>
      </c>
      <c r="B43" s="36"/>
      <c r="C43" s="36">
        <v>424999.77</v>
      </c>
      <c r="D43" s="36"/>
      <c r="E43" s="21">
        <v>0.25</v>
      </c>
      <c r="F43" s="26">
        <v>0.1285</v>
      </c>
      <c r="G43" s="26">
        <v>0.1215</v>
      </c>
      <c r="H43" s="20"/>
    </row>
    <row r="44" spans="1:8" s="15" customFormat="1" ht="14.25" hidden="1">
      <c r="A44" s="20" t="s">
        <v>22</v>
      </c>
      <c r="B44" s="36"/>
      <c r="C44" s="36">
        <v>1999.98</v>
      </c>
      <c r="D44" s="36"/>
      <c r="E44" s="21">
        <v>0.25</v>
      </c>
      <c r="F44" s="26">
        <v>0.1592</v>
      </c>
      <c r="G44" s="26">
        <v>0.0908</v>
      </c>
      <c r="H44" s="20"/>
    </row>
    <row r="45" spans="1:8" s="15" customFormat="1" ht="14.25" hidden="1">
      <c r="A45" s="20" t="s">
        <v>23</v>
      </c>
      <c r="B45" s="36"/>
      <c r="C45" s="36">
        <v>126749.97</v>
      </c>
      <c r="D45" s="36"/>
      <c r="E45" s="21">
        <v>0.25</v>
      </c>
      <c r="F45" s="19">
        <v>0</v>
      </c>
      <c r="G45" s="19">
        <v>0.25</v>
      </c>
      <c r="H45" s="20"/>
    </row>
    <row r="46" spans="1:8" s="15" customFormat="1" ht="14.25">
      <c r="A46" s="20"/>
      <c r="B46" s="36"/>
      <c r="C46" s="36"/>
      <c r="D46" s="36"/>
      <c r="E46" s="21"/>
      <c r="F46" s="19"/>
      <c r="G46" s="19"/>
      <c r="H46" s="20"/>
    </row>
    <row r="47" spans="1:8" s="15" customFormat="1" ht="15">
      <c r="A47" s="22" t="s">
        <v>50</v>
      </c>
      <c r="B47" s="36">
        <v>17718031</v>
      </c>
      <c r="C47" s="35">
        <f>B47/12*1</f>
        <v>1476502.5833333333</v>
      </c>
      <c r="D47" s="36">
        <f>72059+133022+184805+75491+267213+42679+160009</f>
        <v>935278</v>
      </c>
      <c r="E47" s="26">
        <v>0.0833</v>
      </c>
      <c r="F47" s="26">
        <f>+D47/B47</f>
        <v>0.05278679103789806</v>
      </c>
      <c r="G47" s="26">
        <f>+E47-F47</f>
        <v>0.03051320896210194</v>
      </c>
      <c r="H47" s="16"/>
    </row>
    <row r="48" spans="1:8" s="15" customFormat="1" ht="14.25" hidden="1">
      <c r="A48" s="20" t="s">
        <v>20</v>
      </c>
      <c r="B48" s="36">
        <v>1647725</v>
      </c>
      <c r="C48" s="36">
        <v>411931.14</v>
      </c>
      <c r="D48" s="37"/>
      <c r="E48" s="21">
        <v>0.25</v>
      </c>
      <c r="F48" s="26">
        <v>0.1951</v>
      </c>
      <c r="G48" s="26">
        <v>0.0549</v>
      </c>
      <c r="H48" s="20"/>
    </row>
    <row r="49" spans="1:8" s="15" customFormat="1" ht="14.25" hidden="1">
      <c r="A49" s="20" t="s">
        <v>21</v>
      </c>
      <c r="B49" s="36">
        <v>278000</v>
      </c>
      <c r="C49" s="36">
        <v>69499.92</v>
      </c>
      <c r="D49" s="37"/>
      <c r="E49" s="21">
        <v>0.25</v>
      </c>
      <c r="F49" s="26">
        <v>0.0766</v>
      </c>
      <c r="G49" s="26">
        <v>0.1734</v>
      </c>
      <c r="H49" s="20"/>
    </row>
    <row r="50" spans="1:8" s="15" customFormat="1" ht="14.25" hidden="1">
      <c r="A50" s="23" t="s">
        <v>22</v>
      </c>
      <c r="B50" s="37">
        <v>2000</v>
      </c>
      <c r="C50" s="37">
        <v>499.98</v>
      </c>
      <c r="D50" s="37"/>
      <c r="E50" s="21">
        <v>0.25</v>
      </c>
      <c r="F50" s="19">
        <v>0</v>
      </c>
      <c r="G50" s="19">
        <v>0.25</v>
      </c>
      <c r="H50" s="20"/>
    </row>
    <row r="51" spans="1:8" s="15" customFormat="1" ht="14.25" hidden="1">
      <c r="A51" s="23" t="s">
        <v>23</v>
      </c>
      <c r="B51" s="37">
        <v>20000</v>
      </c>
      <c r="C51" s="37">
        <v>4999.98</v>
      </c>
      <c r="D51" s="37"/>
      <c r="E51" s="21">
        <v>0.25</v>
      </c>
      <c r="F51" s="19">
        <v>0</v>
      </c>
      <c r="G51" s="19">
        <v>0.25</v>
      </c>
      <c r="H51" s="20"/>
    </row>
    <row r="52" spans="1:8" s="15" customFormat="1" ht="14.25">
      <c r="A52" s="23"/>
      <c r="B52" s="37" t="s">
        <v>37</v>
      </c>
      <c r="C52" s="37"/>
      <c r="D52" s="37"/>
      <c r="E52" s="21"/>
      <c r="F52" s="19"/>
      <c r="G52" s="19"/>
      <c r="H52" s="20"/>
    </row>
    <row r="53" spans="1:8" s="15" customFormat="1" ht="14.25" hidden="1">
      <c r="A53" s="23" t="s">
        <v>20</v>
      </c>
      <c r="B53" s="37">
        <v>1295270</v>
      </c>
      <c r="C53" s="37">
        <v>323817.39</v>
      </c>
      <c r="D53" s="37">
        <v>312818.59</v>
      </c>
      <c r="E53" s="21">
        <v>0.25</v>
      </c>
      <c r="F53" s="26">
        <v>0.2415</v>
      </c>
      <c r="G53" s="26">
        <v>0.0085</v>
      </c>
      <c r="H53" s="20"/>
    </row>
    <row r="54" spans="1:8" s="15" customFormat="1" ht="14.25" hidden="1">
      <c r="A54" s="23" t="s">
        <v>21</v>
      </c>
      <c r="B54" s="37">
        <v>385400</v>
      </c>
      <c r="C54" s="37">
        <v>96349.83</v>
      </c>
      <c r="D54" s="37">
        <v>64853.83</v>
      </c>
      <c r="E54" s="21">
        <v>0.25</v>
      </c>
      <c r="F54" s="26">
        <v>0.1682</v>
      </c>
      <c r="G54" s="26">
        <v>0.0818</v>
      </c>
      <c r="H54" s="20"/>
    </row>
    <row r="55" spans="1:8" s="15" customFormat="1" ht="14.25" hidden="1">
      <c r="A55" s="23" t="s">
        <v>22</v>
      </c>
      <c r="B55" s="37">
        <v>106000</v>
      </c>
      <c r="C55" s="37">
        <v>26499.96</v>
      </c>
      <c r="D55" s="37">
        <v>14261.99</v>
      </c>
      <c r="E55" s="21">
        <v>0.25</v>
      </c>
      <c r="F55" s="26">
        <v>0.1345</v>
      </c>
      <c r="G55" s="26">
        <v>0.1155</v>
      </c>
      <c r="H55" s="20"/>
    </row>
    <row r="56" spans="1:8" s="15" customFormat="1" ht="14.25" hidden="1">
      <c r="A56" s="23" t="s">
        <v>23</v>
      </c>
      <c r="B56" s="37">
        <v>60000</v>
      </c>
      <c r="C56" s="37">
        <v>15000</v>
      </c>
      <c r="D56" s="37">
        <v>0</v>
      </c>
      <c r="E56" s="21">
        <v>0.25</v>
      </c>
      <c r="F56" s="19">
        <v>0</v>
      </c>
      <c r="G56" s="19">
        <v>0.25</v>
      </c>
      <c r="H56" s="20"/>
    </row>
    <row r="57" spans="1:8" s="25" customFormat="1" ht="15">
      <c r="A57" s="24" t="s">
        <v>29</v>
      </c>
      <c r="B57" s="40">
        <f>B9+B16+B22+B34+B40+B47+B32</f>
        <v>122401684</v>
      </c>
      <c r="C57" s="40">
        <f>C9+C16+C22+C34+C40+C47+C32</f>
        <v>10200140.333333334</v>
      </c>
      <c r="D57" s="40">
        <f>D9+D16+D22+D34+D40+D47+D32</f>
        <v>3584960</v>
      </c>
      <c r="E57" s="28">
        <v>0.0833</v>
      </c>
      <c r="F57" s="28">
        <f>+D57/B57</f>
        <v>0.029288485932922294</v>
      </c>
      <c r="G57" s="28">
        <f>+E57-F57</f>
        <v>0.0540115140670777</v>
      </c>
      <c r="H57" s="22"/>
    </row>
    <row r="58" spans="1:8" s="15" customFormat="1" ht="14.25">
      <c r="A58" s="23"/>
      <c r="B58" s="37"/>
      <c r="C58" s="37"/>
      <c r="D58" s="37"/>
      <c r="E58" s="19"/>
      <c r="F58" s="26"/>
      <c r="G58" s="26"/>
      <c r="H58" s="20"/>
    </row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</sheetData>
  <mergeCells count="3">
    <mergeCell ref="A3:H3"/>
    <mergeCell ref="A1:H1"/>
    <mergeCell ref="A2:H2"/>
  </mergeCells>
  <printOptions/>
  <pageMargins left="0.15748031496062992" right="0.15748031496062992" top="0.5905511811023623" bottom="0.5905511811023623" header="0.5118110236220472" footer="0.5118110236220472"/>
  <pageSetup firstPageNumber="7" useFirstPageNumber="1" horizontalDpi="1200" verticalDpi="1200" orientation="landscape" paperSize="9" scal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33"/>
  </sheetPr>
  <dimension ref="A1:H18"/>
  <sheetViews>
    <sheetView workbookViewId="0" topLeftCell="A1">
      <selection activeCell="D14" sqref="D14"/>
    </sheetView>
  </sheetViews>
  <sheetFormatPr defaultColWidth="9.140625" defaultRowHeight="12.75"/>
  <cols>
    <col min="1" max="1" width="37.7109375" style="0" bestFit="1" customWidth="1"/>
    <col min="2" max="4" width="12.7109375" style="0" customWidth="1"/>
  </cols>
  <sheetData>
    <row r="1" spans="1:4" ht="18">
      <c r="A1" s="116" t="s">
        <v>40</v>
      </c>
      <c r="B1" s="117"/>
      <c r="C1" s="117"/>
      <c r="D1" s="117"/>
    </row>
    <row r="2" spans="1:4" ht="18">
      <c r="A2" s="116" t="s">
        <v>58</v>
      </c>
      <c r="B2" s="117"/>
      <c r="C2" s="117"/>
      <c r="D2" s="117"/>
    </row>
    <row r="3" spans="1:8" ht="15.75">
      <c r="A3" s="114">
        <v>39813</v>
      </c>
      <c r="B3" s="114"/>
      <c r="C3" s="114"/>
      <c r="D3" s="114"/>
      <c r="E3" s="67"/>
      <c r="F3" s="67"/>
      <c r="G3" s="67"/>
      <c r="H3" s="67"/>
    </row>
    <row r="4" spans="1:4" ht="12.75">
      <c r="A4" s="3"/>
      <c r="B4" s="3"/>
      <c r="C4" s="3"/>
      <c r="D4" s="3"/>
    </row>
    <row r="6" spans="1:4" ht="64.5" customHeight="1">
      <c r="A6" s="13" t="s">
        <v>31</v>
      </c>
      <c r="B6" s="13" t="s">
        <v>32</v>
      </c>
      <c r="C6" s="13" t="s">
        <v>73</v>
      </c>
      <c r="D6" s="13" t="s">
        <v>59</v>
      </c>
    </row>
    <row r="7" spans="1:4" ht="14.25">
      <c r="A7" s="30"/>
      <c r="B7" s="30"/>
      <c r="C7" s="30"/>
      <c r="D7" s="30"/>
    </row>
    <row r="8" spans="1:4" ht="14.25">
      <c r="A8" s="20"/>
      <c r="B8" s="20"/>
      <c r="C8" s="20"/>
      <c r="D8" s="20"/>
    </row>
    <row r="9" spans="1:5" ht="14.25">
      <c r="A9" s="20" t="s">
        <v>63</v>
      </c>
      <c r="B9" s="41">
        <f>12911000+8608000</f>
        <v>21519000</v>
      </c>
      <c r="C9" s="41">
        <f>7173042+5379782</f>
        <v>12552824</v>
      </c>
      <c r="D9" s="41">
        <v>0</v>
      </c>
      <c r="E9" s="73"/>
    </row>
    <row r="10" spans="1:4" ht="14.25">
      <c r="A10" s="20" t="s">
        <v>66</v>
      </c>
      <c r="B10" s="36">
        <v>1000000</v>
      </c>
      <c r="C10" s="41">
        <v>1000000</v>
      </c>
      <c r="D10" s="41">
        <v>0</v>
      </c>
    </row>
    <row r="11" spans="1:4" ht="14.25">
      <c r="A11" s="20" t="s">
        <v>67</v>
      </c>
      <c r="B11" s="36">
        <v>2500000</v>
      </c>
      <c r="C11" s="41">
        <v>2500000</v>
      </c>
      <c r="D11" s="41">
        <v>0</v>
      </c>
    </row>
    <row r="12" spans="1:4" ht="14.25">
      <c r="A12" s="20" t="s">
        <v>68</v>
      </c>
      <c r="B12" s="36">
        <v>8343000</v>
      </c>
      <c r="C12" s="41">
        <f>800000+1740000+770000</f>
        <v>3310000</v>
      </c>
      <c r="D12" s="41">
        <v>770000</v>
      </c>
    </row>
    <row r="13" spans="1:4" ht="14.25">
      <c r="A13" s="20"/>
      <c r="B13" s="36"/>
      <c r="C13" s="41"/>
      <c r="D13" s="41"/>
    </row>
    <row r="14" spans="1:5" s="31" customFormat="1" ht="15">
      <c r="A14" s="22" t="s">
        <v>35</v>
      </c>
      <c r="B14" s="38">
        <f>SUM(B9:B13)</f>
        <v>33362000</v>
      </c>
      <c r="C14" s="42">
        <f>SUM(C9:C13)</f>
        <v>19362824</v>
      </c>
      <c r="D14" s="42">
        <f>SUM(D9:D13)</f>
        <v>770000</v>
      </c>
      <c r="E14" s="74"/>
    </row>
    <row r="15" spans="1:4" s="31" customFormat="1" ht="15">
      <c r="A15" s="22"/>
      <c r="B15" s="38"/>
      <c r="C15" s="38"/>
      <c r="D15" s="38"/>
    </row>
    <row r="18" spans="3:4" ht="12.75">
      <c r="C18" s="108"/>
      <c r="D18" s="108"/>
    </row>
  </sheetData>
  <mergeCells count="3">
    <mergeCell ref="A1:D1"/>
    <mergeCell ref="A2:D2"/>
    <mergeCell ref="A3:D3"/>
  </mergeCells>
  <printOptions/>
  <pageMargins left="0.75" right="0.75" top="1" bottom="1" header="0.5" footer="0.5"/>
  <pageSetup firstPageNumber="9" useFirstPageNumber="1"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33"/>
  </sheetPr>
  <dimension ref="A1:I33"/>
  <sheetViews>
    <sheetView workbookViewId="0" topLeftCell="A1">
      <selection activeCell="A1" sqref="A1:F1"/>
    </sheetView>
  </sheetViews>
  <sheetFormatPr defaultColWidth="9.140625" defaultRowHeight="12.75"/>
  <cols>
    <col min="1" max="1" width="49.421875" style="0" customWidth="1"/>
    <col min="2" max="2" width="12.7109375" style="0" customWidth="1"/>
    <col min="3" max="3" width="14.57421875" style="0" customWidth="1"/>
    <col min="4" max="4" width="12.7109375" style="0" customWidth="1"/>
    <col min="5" max="5" width="11.7109375" style="0" customWidth="1"/>
    <col min="6" max="6" width="10.421875" style="0" customWidth="1"/>
    <col min="7" max="7" width="10.8515625" style="0" customWidth="1"/>
  </cols>
  <sheetData>
    <row r="1" spans="1:6" ht="12.75">
      <c r="A1" s="117"/>
      <c r="B1" s="117"/>
      <c r="C1" s="117"/>
      <c r="D1" s="117"/>
      <c r="E1" s="117"/>
      <c r="F1" s="117"/>
    </row>
    <row r="2" spans="1:6" ht="18">
      <c r="A2" s="116" t="s">
        <v>79</v>
      </c>
      <c r="B2" s="117"/>
      <c r="C2" s="117"/>
      <c r="D2" s="117"/>
      <c r="E2" s="117"/>
      <c r="F2" s="117"/>
    </row>
    <row r="3" spans="1:9" ht="18">
      <c r="A3" s="116" t="s">
        <v>71</v>
      </c>
      <c r="B3" s="117"/>
      <c r="C3" s="117"/>
      <c r="D3" s="117"/>
      <c r="E3" s="117"/>
      <c r="F3" s="117"/>
      <c r="G3" s="67"/>
      <c r="H3" s="29"/>
      <c r="I3" s="29"/>
    </row>
    <row r="4" spans="1:6" ht="15.75">
      <c r="A4" s="114">
        <v>39813</v>
      </c>
      <c r="B4" s="114"/>
      <c r="C4" s="114"/>
      <c r="D4" s="114"/>
      <c r="E4" s="114"/>
      <c r="F4" s="114"/>
    </row>
    <row r="6" spans="1:6" ht="45">
      <c r="A6" s="13" t="s">
        <v>31</v>
      </c>
      <c r="B6" s="13" t="s">
        <v>32</v>
      </c>
      <c r="C6" s="13" t="s">
        <v>33</v>
      </c>
      <c r="D6" s="13" t="s">
        <v>57</v>
      </c>
      <c r="E6" s="13" t="s">
        <v>104</v>
      </c>
      <c r="F6" s="13" t="s">
        <v>34</v>
      </c>
    </row>
    <row r="7" spans="1:6" ht="14.25">
      <c r="A7" s="30"/>
      <c r="B7" s="30"/>
      <c r="C7" s="30"/>
      <c r="D7" s="30"/>
      <c r="E7" s="30"/>
      <c r="F7" s="20"/>
    </row>
    <row r="8" spans="1:6" ht="14.25">
      <c r="A8" s="20"/>
      <c r="B8" s="20"/>
      <c r="C8" s="20"/>
      <c r="D8" s="20"/>
      <c r="E8" s="20"/>
      <c r="F8" s="20"/>
    </row>
    <row r="9" spans="1:6" ht="14.25">
      <c r="A9" s="39" t="s">
        <v>80</v>
      </c>
      <c r="B9" s="71">
        <v>500000</v>
      </c>
      <c r="C9" s="98">
        <v>0</v>
      </c>
      <c r="D9" s="98">
        <v>0</v>
      </c>
      <c r="E9" s="75">
        <v>0.5</v>
      </c>
      <c r="F9" s="75">
        <f aca="true" t="shared" si="0" ref="F9:F22">+C9/B9</f>
        <v>0</v>
      </c>
    </row>
    <row r="10" spans="1:6" ht="14.25">
      <c r="A10" s="39" t="s">
        <v>81</v>
      </c>
      <c r="B10" s="71">
        <v>300000</v>
      </c>
      <c r="C10" s="98">
        <v>0</v>
      </c>
      <c r="D10" s="98">
        <v>0</v>
      </c>
      <c r="E10" s="75">
        <v>0.5</v>
      </c>
      <c r="F10" s="75">
        <f t="shared" si="0"/>
        <v>0</v>
      </c>
    </row>
    <row r="11" spans="1:6" ht="14.25">
      <c r="A11" s="39" t="s">
        <v>100</v>
      </c>
      <c r="B11" s="71">
        <v>29000</v>
      </c>
      <c r="C11" s="98">
        <v>0</v>
      </c>
      <c r="D11" s="98">
        <v>0</v>
      </c>
      <c r="E11" s="75">
        <v>0.5</v>
      </c>
      <c r="F11" s="75">
        <f t="shared" si="0"/>
        <v>0</v>
      </c>
    </row>
    <row r="12" spans="1:6" ht="14.25">
      <c r="A12" s="39" t="s">
        <v>82</v>
      </c>
      <c r="B12" s="71">
        <v>150000</v>
      </c>
      <c r="C12" s="98">
        <v>186247.69</v>
      </c>
      <c r="D12" s="98">
        <v>0</v>
      </c>
      <c r="E12" s="75">
        <v>0.5</v>
      </c>
      <c r="F12" s="75">
        <f t="shared" si="0"/>
        <v>1.2416512666666666</v>
      </c>
    </row>
    <row r="13" spans="1:6" ht="14.25">
      <c r="A13" s="39" t="s">
        <v>83</v>
      </c>
      <c r="B13" s="71">
        <v>20000</v>
      </c>
      <c r="C13" s="98">
        <v>0</v>
      </c>
      <c r="D13" s="98">
        <v>0</v>
      </c>
      <c r="E13" s="75">
        <v>0.5</v>
      </c>
      <c r="F13" s="75">
        <f t="shared" si="0"/>
        <v>0</v>
      </c>
    </row>
    <row r="14" spans="1:6" ht="14.25">
      <c r="A14" s="39" t="s">
        <v>84</v>
      </c>
      <c r="B14" s="71">
        <v>30000</v>
      </c>
      <c r="C14" s="98">
        <v>0</v>
      </c>
      <c r="D14" s="98">
        <v>0</v>
      </c>
      <c r="E14" s="75">
        <v>0.5</v>
      </c>
      <c r="F14" s="75">
        <f t="shared" si="0"/>
        <v>0</v>
      </c>
    </row>
    <row r="15" spans="1:6" ht="14.25">
      <c r="A15" s="39" t="s">
        <v>85</v>
      </c>
      <c r="B15" s="71">
        <v>291000</v>
      </c>
      <c r="C15" s="98">
        <v>0</v>
      </c>
      <c r="D15" s="98">
        <v>0</v>
      </c>
      <c r="E15" s="75">
        <v>0.5</v>
      </c>
      <c r="F15" s="75">
        <f t="shared" si="0"/>
        <v>0</v>
      </c>
    </row>
    <row r="16" spans="1:6" ht="14.25">
      <c r="A16" s="39" t="s">
        <v>86</v>
      </c>
      <c r="B16" s="71">
        <v>120000</v>
      </c>
      <c r="C16" s="98">
        <v>0</v>
      </c>
      <c r="D16" s="98">
        <v>0</v>
      </c>
      <c r="E16" s="75">
        <v>0.5</v>
      </c>
      <c r="F16" s="75">
        <f t="shared" si="0"/>
        <v>0</v>
      </c>
    </row>
    <row r="17" spans="1:6" ht="14.25">
      <c r="A17" s="39" t="s">
        <v>87</v>
      </c>
      <c r="B17" s="71">
        <v>21000</v>
      </c>
      <c r="C17" s="98">
        <v>0</v>
      </c>
      <c r="D17" s="98">
        <v>0</v>
      </c>
      <c r="E17" s="75">
        <v>0.5</v>
      </c>
      <c r="F17" s="75">
        <f t="shared" si="0"/>
        <v>0</v>
      </c>
    </row>
    <row r="18" spans="1:6" ht="14.25">
      <c r="A18" s="70" t="s">
        <v>88</v>
      </c>
      <c r="B18" s="71">
        <v>40000</v>
      </c>
      <c r="C18" s="98">
        <v>0</v>
      </c>
      <c r="D18" s="98">
        <v>0</v>
      </c>
      <c r="E18" s="75">
        <v>0.5</v>
      </c>
      <c r="F18" s="75">
        <f t="shared" si="0"/>
        <v>0</v>
      </c>
    </row>
    <row r="19" spans="1:6" ht="14.25">
      <c r="A19" s="70" t="s">
        <v>89</v>
      </c>
      <c r="B19" s="71">
        <v>20000</v>
      </c>
      <c r="C19" s="98">
        <v>0</v>
      </c>
      <c r="D19" s="98">
        <v>0</v>
      </c>
      <c r="E19" s="75">
        <v>0.5</v>
      </c>
      <c r="F19" s="75">
        <f t="shared" si="0"/>
        <v>0</v>
      </c>
    </row>
    <row r="20" spans="1:6" ht="14.25">
      <c r="A20" s="70" t="s">
        <v>90</v>
      </c>
      <c r="B20" s="71">
        <v>2000000</v>
      </c>
      <c r="C20" s="98">
        <v>740801</v>
      </c>
      <c r="D20" s="98">
        <v>124951</v>
      </c>
      <c r="E20" s="75">
        <v>0.5</v>
      </c>
      <c r="F20" s="75">
        <f t="shared" si="0"/>
        <v>0.3704005</v>
      </c>
    </row>
    <row r="21" spans="1:6" ht="14.25">
      <c r="A21" s="70" t="s">
        <v>91</v>
      </c>
      <c r="B21" s="71">
        <v>1050000</v>
      </c>
      <c r="C21" s="99">
        <v>7735</v>
      </c>
      <c r="D21" s="98">
        <v>0</v>
      </c>
      <c r="E21" s="75">
        <v>0.5</v>
      </c>
      <c r="F21" s="75">
        <f t="shared" si="0"/>
        <v>0.007366666666666666</v>
      </c>
    </row>
    <row r="22" spans="1:6" ht="14.25">
      <c r="A22" s="70" t="s">
        <v>92</v>
      </c>
      <c r="B22" s="71">
        <v>1800000</v>
      </c>
      <c r="C22" s="98">
        <v>159816.46</v>
      </c>
      <c r="D22" s="98">
        <v>0</v>
      </c>
      <c r="E22" s="75">
        <v>0.5</v>
      </c>
      <c r="F22" s="75">
        <f t="shared" si="0"/>
        <v>0.08878692222222222</v>
      </c>
    </row>
    <row r="23" spans="1:6" ht="14.25">
      <c r="A23" s="70" t="s">
        <v>93</v>
      </c>
      <c r="B23" s="71">
        <v>600000</v>
      </c>
      <c r="C23" s="98">
        <v>0</v>
      </c>
      <c r="D23" s="98">
        <v>0</v>
      </c>
      <c r="E23" s="75">
        <v>0.5</v>
      </c>
      <c r="F23" s="75">
        <f>+C23/B23</f>
        <v>0</v>
      </c>
    </row>
    <row r="24" spans="1:7" ht="14.25">
      <c r="A24" s="70" t="s">
        <v>94</v>
      </c>
      <c r="B24" s="71">
        <v>2500000</v>
      </c>
      <c r="C24" s="98">
        <v>1063394</v>
      </c>
      <c r="D24" s="98">
        <v>89360</v>
      </c>
      <c r="E24" s="75">
        <v>0.5</v>
      </c>
      <c r="F24" s="75">
        <f aca="true" t="shared" si="1" ref="F24:F29">+C24/B24</f>
        <v>0.4253576</v>
      </c>
      <c r="G24" s="108"/>
    </row>
    <row r="25" spans="1:7" ht="14.25">
      <c r="A25" s="70" t="s">
        <v>95</v>
      </c>
      <c r="B25" s="71">
        <v>2477000</v>
      </c>
      <c r="C25" s="98">
        <v>0</v>
      </c>
      <c r="D25" s="98">
        <v>0</v>
      </c>
      <c r="E25" s="75">
        <v>0.5</v>
      </c>
      <c r="F25" s="75">
        <f t="shared" si="1"/>
        <v>0</v>
      </c>
      <c r="G25" s="109"/>
    </row>
    <row r="26" spans="1:6" ht="14.25">
      <c r="A26" s="70" t="s">
        <v>96</v>
      </c>
      <c r="B26" s="71">
        <v>330000</v>
      </c>
      <c r="C26" s="98">
        <v>153980</v>
      </c>
      <c r="D26" s="98">
        <v>0</v>
      </c>
      <c r="E26" s="75">
        <v>0.5</v>
      </c>
      <c r="F26" s="75">
        <f t="shared" si="1"/>
        <v>0.4666060606060606</v>
      </c>
    </row>
    <row r="27" spans="1:6" ht="14.25">
      <c r="A27" s="70" t="s">
        <v>97</v>
      </c>
      <c r="B27" s="71">
        <v>67000</v>
      </c>
      <c r="C27" s="98">
        <v>0</v>
      </c>
      <c r="D27" s="98">
        <v>0</v>
      </c>
      <c r="E27" s="75">
        <v>0.5</v>
      </c>
      <c r="F27" s="75">
        <f t="shared" si="1"/>
        <v>0</v>
      </c>
    </row>
    <row r="28" spans="1:6" ht="14.25">
      <c r="A28" s="70" t="s">
        <v>98</v>
      </c>
      <c r="B28" s="71">
        <v>60000</v>
      </c>
      <c r="C28" s="98">
        <v>0</v>
      </c>
      <c r="D28" s="98">
        <v>0</v>
      </c>
      <c r="E28" s="75">
        <v>0.5</v>
      </c>
      <c r="F28" s="75">
        <f t="shared" si="1"/>
        <v>0</v>
      </c>
    </row>
    <row r="29" spans="1:6" ht="14.25">
      <c r="A29" s="70" t="s">
        <v>99</v>
      </c>
      <c r="B29" s="71">
        <v>73000</v>
      </c>
      <c r="C29" s="98">
        <v>68901</v>
      </c>
      <c r="D29" s="98">
        <v>0</v>
      </c>
      <c r="E29" s="75">
        <v>0.5</v>
      </c>
      <c r="F29" s="75">
        <f t="shared" si="1"/>
        <v>0.9438493150684931</v>
      </c>
    </row>
    <row r="30" spans="1:6" ht="15" thickBot="1">
      <c r="A30" s="92"/>
      <c r="B30" s="93"/>
      <c r="C30" s="100"/>
      <c r="D30" s="100"/>
      <c r="E30" s="75"/>
      <c r="F30" s="94"/>
    </row>
    <row r="31" spans="1:6" s="31" customFormat="1" ht="15.75" thickBot="1">
      <c r="A31" s="95" t="s">
        <v>35</v>
      </c>
      <c r="B31" s="96">
        <f>SUM(B9:B29)</f>
        <v>12478000</v>
      </c>
      <c r="C31" s="101">
        <f>SUM(C9:C29)</f>
        <v>2380875.15</v>
      </c>
      <c r="D31" s="101">
        <f>SUM(D9:D29)</f>
        <v>214311</v>
      </c>
      <c r="E31" s="112">
        <v>0.5</v>
      </c>
      <c r="F31" s="97">
        <f>+C31/B31</f>
        <v>0.1908058302612598</v>
      </c>
    </row>
    <row r="32" spans="1:6" s="89" customFormat="1" ht="15">
      <c r="A32" s="86"/>
      <c r="B32" s="87"/>
      <c r="C32" s="87"/>
      <c r="D32" s="87"/>
      <c r="E32" s="87"/>
      <c r="F32" s="88"/>
    </row>
    <row r="33" spans="1:6" s="80" customFormat="1" ht="14.25">
      <c r="A33" s="90"/>
      <c r="B33" s="91"/>
      <c r="C33" s="91"/>
      <c r="D33" s="91"/>
      <c r="E33" s="91"/>
      <c r="F33" s="90"/>
    </row>
  </sheetData>
  <mergeCells count="4">
    <mergeCell ref="A3:F3"/>
    <mergeCell ref="A4:F4"/>
    <mergeCell ref="A1:F1"/>
    <mergeCell ref="A2:F2"/>
  </mergeCells>
  <printOptions/>
  <pageMargins left="0.75" right="0.75" top="1" bottom="1" header="0.5" footer="0.5"/>
  <pageSetup firstPageNumber="10" useFirstPageNumber="1"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4"/>
  </sheetPr>
  <dimension ref="A1:F19"/>
  <sheetViews>
    <sheetView workbookViewId="0" topLeftCell="A1">
      <selection activeCell="D25" sqref="D25"/>
    </sheetView>
  </sheetViews>
  <sheetFormatPr defaultColWidth="9.140625" defaultRowHeight="12.75"/>
  <cols>
    <col min="1" max="1" width="29.57421875" style="0" customWidth="1"/>
    <col min="2" max="2" width="13.57421875" style="0" customWidth="1"/>
    <col min="3" max="3" width="15.140625" style="0" customWidth="1"/>
    <col min="4" max="4" width="13.7109375" style="0" customWidth="1"/>
    <col min="5" max="5" width="15.00390625" style="0" customWidth="1"/>
    <col min="6" max="6" width="12.57421875" style="0" customWidth="1"/>
  </cols>
  <sheetData>
    <row r="1" spans="1:6" ht="18">
      <c r="A1" s="116" t="s">
        <v>77</v>
      </c>
      <c r="B1" s="117"/>
      <c r="C1" s="117"/>
      <c r="D1" s="117"/>
      <c r="E1" s="117"/>
      <c r="F1" s="117"/>
    </row>
    <row r="2" spans="1:6" ht="18">
      <c r="A2" s="116" t="s">
        <v>71</v>
      </c>
      <c r="B2" s="117"/>
      <c r="C2" s="117"/>
      <c r="D2" s="117"/>
      <c r="E2" s="117"/>
      <c r="F2" s="117"/>
    </row>
    <row r="3" spans="1:6" ht="15.75">
      <c r="A3" s="114">
        <v>39813</v>
      </c>
      <c r="B3" s="114"/>
      <c r="C3" s="114"/>
      <c r="D3" s="114"/>
      <c r="E3" s="114"/>
      <c r="F3" s="114"/>
    </row>
    <row r="5" spans="1:3" ht="12.75">
      <c r="A5" s="31" t="s">
        <v>78</v>
      </c>
      <c r="B5" s="31"/>
      <c r="C5" s="31"/>
    </row>
    <row r="6" spans="1:6" ht="54.75" customHeight="1">
      <c r="A6" s="13" t="s">
        <v>31</v>
      </c>
      <c r="B6" s="13" t="s">
        <v>32</v>
      </c>
      <c r="C6" s="13" t="s">
        <v>33</v>
      </c>
      <c r="D6" s="13" t="s">
        <v>57</v>
      </c>
      <c r="E6" s="13" t="s">
        <v>74</v>
      </c>
      <c r="F6" s="13" t="s">
        <v>34</v>
      </c>
    </row>
    <row r="7" spans="1:6" ht="12.75">
      <c r="A7" s="39"/>
      <c r="B7" s="39"/>
      <c r="C7" s="39"/>
      <c r="D7" s="39"/>
      <c r="E7" s="39"/>
      <c r="F7" s="39"/>
    </row>
    <row r="8" spans="1:6" ht="12.75">
      <c r="A8" s="39"/>
      <c r="B8" s="39"/>
      <c r="C8" s="39"/>
      <c r="D8" s="39"/>
      <c r="E8" s="39"/>
      <c r="F8" s="39"/>
    </row>
    <row r="9" spans="1:6" ht="12.75">
      <c r="A9" s="39" t="s">
        <v>69</v>
      </c>
      <c r="B9" s="77">
        <v>7116061</v>
      </c>
      <c r="C9" s="78">
        <f>5385253+205472</f>
        <v>5590725</v>
      </c>
      <c r="D9" s="78">
        <v>0</v>
      </c>
      <c r="E9" s="76">
        <v>1</v>
      </c>
      <c r="F9" s="76">
        <f>+C9/B9</f>
        <v>0.7856488301603936</v>
      </c>
    </row>
    <row r="10" spans="1:6" ht="12.75">
      <c r="A10" s="39" t="s">
        <v>70</v>
      </c>
      <c r="B10" s="78">
        <v>13000000</v>
      </c>
      <c r="C10" s="78">
        <v>11819351</v>
      </c>
      <c r="D10" s="78">
        <v>105109</v>
      </c>
      <c r="E10" s="76">
        <v>1</v>
      </c>
      <c r="F10" s="76">
        <f>+C10/B10</f>
        <v>0.9091808461538462</v>
      </c>
    </row>
    <row r="11" spans="3:6" ht="13.5" thickBot="1">
      <c r="C11" t="s">
        <v>101</v>
      </c>
      <c r="E11" s="80"/>
      <c r="F11" s="76"/>
    </row>
    <row r="12" spans="1:6" ht="13.5" thickBot="1">
      <c r="A12" s="79"/>
      <c r="B12" s="81">
        <f>SUM(B9:B11)</f>
        <v>20116061</v>
      </c>
      <c r="C12" s="81">
        <f>SUM(C9:C11)</f>
        <v>17410076</v>
      </c>
      <c r="D12" s="82">
        <f>SUM(D9:D11)</f>
        <v>105109</v>
      </c>
      <c r="E12" s="83">
        <v>1</v>
      </c>
      <c r="F12" s="110">
        <f>+C12/B12</f>
        <v>0.8654813683454231</v>
      </c>
    </row>
    <row r="15" spans="3:6" ht="12.75">
      <c r="C15" s="102"/>
      <c r="E15" s="103"/>
      <c r="F15" s="111"/>
    </row>
    <row r="16" spans="3:5" ht="12.75">
      <c r="C16" s="102"/>
      <c r="E16" s="103"/>
    </row>
    <row r="17" ht="12.75">
      <c r="E17" s="103"/>
    </row>
    <row r="18" ht="12.75">
      <c r="C18" s="103"/>
    </row>
    <row r="19" ht="12.75">
      <c r="E19" s="103"/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Linah</dc:creator>
  <cp:keywords/>
  <dc:description/>
  <cp:lastModifiedBy>Manzini</cp:lastModifiedBy>
  <cp:lastPrinted>2008-11-11T10:19:09Z</cp:lastPrinted>
  <dcterms:created xsi:type="dcterms:W3CDTF">2004-08-24T08:49:04Z</dcterms:created>
  <dcterms:modified xsi:type="dcterms:W3CDTF">2009-01-28T13:59:58Z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